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ТО\Когтев В.И. Руководитель ПТС\Объекты\1. Тендер\Раздольная\Витражи\"/>
    </mc:Choice>
  </mc:AlternateContent>
  <bookViews>
    <workbookView xWindow="0" yWindow="0" windowWidth="28770" windowHeight="11370" firstSheet="7" activeTab="7"/>
  </bookViews>
  <sheets>
    <sheet name="6.Ведомость_списания" sheetId="18" state="hidden" r:id="rId1"/>
    <sheet name="5.Ресурсный_расчет" sheetId="16" state="hidden" r:id="rId2"/>
    <sheet name="4.Оборудование" sheetId="14" state="hidden" r:id="rId3"/>
    <sheet name="3.Материалы" sheetId="12" state="hidden" r:id="rId4"/>
    <sheet name="2.Лок.смета.и.Акт в ЕР" sheetId="10" state="hidden" r:id="rId5"/>
    <sheet name="SourceOb.2" sheetId="9" state="hidden" r:id="rId6"/>
    <sheet name="1.Лок.смета.и.Акт" sheetId="7" state="hidden" r:id="rId7"/>
    <sheet name="ТЗ" sheetId="19" r:id="rId8"/>
    <sheet name="SourceOb.1" sheetId="6" state="hidden" r:id="rId9"/>
    <sheet name="Source" sheetId="1" state="hidden" r:id="rId10"/>
    <sheet name="SourceObSm" sheetId="2" state="hidden" r:id="rId11"/>
    <sheet name="SmtRes" sheetId="3" state="hidden" r:id="rId12"/>
    <sheet name="EtalonRes" sheetId="4" state="hidden" r:id="rId13"/>
  </sheets>
  <externalReferences>
    <externalReference r:id="rId14"/>
  </externalReferences>
  <definedNames>
    <definedName name="_xlnm.Print_Titles" localSheetId="6">'1.Лок.смета.и.Акт'!$46:$46</definedName>
    <definedName name="_xlnm.Print_Titles" localSheetId="4">'2.Лок.смета.и.Акт в ЕР'!$46:$46</definedName>
    <definedName name="_xlnm.Print_Titles" localSheetId="3">'3.Материалы'!$20:$20</definedName>
    <definedName name="_xlnm.Print_Titles" localSheetId="2">'4.Оборудование'!$18:$18</definedName>
    <definedName name="_xlnm.Print_Titles" localSheetId="1">'5.Ресурсный_расчет'!$20:$20</definedName>
    <definedName name="_xlnm.Print_Titles" localSheetId="0">'6.Ведомость_списания'!$18:$18</definedName>
    <definedName name="_xlnm.Print_Area" localSheetId="6">'1.Лок.смета.и.Акт'!$A$1:$K$164</definedName>
    <definedName name="_xlnm.Print_Area" localSheetId="4">'2.Лок.смета.и.Акт в ЕР'!$A$1:$K$164</definedName>
    <definedName name="_xlnm.Print_Area" localSheetId="3">'3.Материалы'!$A$1:$G$34</definedName>
    <definedName name="_xlnm.Print_Area" localSheetId="2">'4.Оборудование'!$A$1:$G$32</definedName>
    <definedName name="_xlnm.Print_Area" localSheetId="1">'5.Ресурсный_расчет'!$A$1:$G$50</definedName>
    <definedName name="_xlnm.Print_Area" localSheetId="0">'6.Ведомость_списания'!$A$1:$K$37</definedName>
    <definedName name="_xlnm.Print_Area" localSheetId="7">ТЗ!$A$1:$G$141</definedName>
  </definedNames>
  <calcPr calcId="162913"/>
</workbook>
</file>

<file path=xl/calcChain.xml><?xml version="1.0" encoding="utf-8"?>
<calcChain xmlns="http://schemas.openxmlformats.org/spreadsheetml/2006/main">
  <c r="BX88" i="19" l="1"/>
  <c r="BX89" i="19"/>
  <c r="BX90" i="19"/>
  <c r="DL92" i="19"/>
  <c r="DL93" i="19"/>
  <c r="DL94" i="19"/>
  <c r="DL95" i="19"/>
  <c r="DL97" i="19"/>
  <c r="DL98" i="19"/>
  <c r="DL99" i="19"/>
  <c r="DL101" i="19"/>
  <c r="DL102" i="19"/>
  <c r="DL103" i="19"/>
  <c r="DL105" i="19"/>
  <c r="DL107" i="19"/>
  <c r="DI103" i="19" l="1"/>
  <c r="DM103" i="19"/>
  <c r="U103" i="19"/>
  <c r="DI107" i="19"/>
  <c r="DM107" i="19"/>
  <c r="U107" i="19"/>
  <c r="DI92" i="19"/>
  <c r="DM92" i="19"/>
  <c r="U92" i="19"/>
  <c r="DI93" i="19"/>
  <c r="U93" i="19"/>
  <c r="DM93" i="19"/>
  <c r="DI97" i="19"/>
  <c r="DM97" i="19"/>
  <c r="U97" i="19"/>
  <c r="DI95" i="19"/>
  <c r="U95" i="19"/>
  <c r="DM95" i="19"/>
  <c r="DI94" i="19"/>
  <c r="DM94" i="19"/>
  <c r="U94" i="19"/>
  <c r="DI99" i="19"/>
  <c r="DM99" i="19"/>
  <c r="U99" i="19"/>
  <c r="DI98" i="19"/>
  <c r="U98" i="19"/>
  <c r="DM98" i="19"/>
  <c r="DI105" i="19"/>
  <c r="U105" i="19"/>
  <c r="DM105" i="19"/>
  <c r="DI101" i="19"/>
  <c r="U101" i="19"/>
  <c r="DM101" i="19"/>
  <c r="DI102" i="19"/>
  <c r="U102" i="19"/>
  <c r="DM102" i="19"/>
  <c r="K138" i="10" l="1"/>
  <c r="K135" i="10"/>
  <c r="K130" i="10"/>
  <c r="K128" i="10"/>
  <c r="K107" i="10"/>
  <c r="K126" i="10"/>
  <c r="K125" i="10"/>
  <c r="K138" i="7"/>
  <c r="K135" i="7"/>
  <c r="K130" i="7"/>
  <c r="K128" i="7"/>
  <c r="K126" i="7"/>
  <c r="K125" i="7"/>
  <c r="K107" i="7"/>
  <c r="K124" i="7"/>
  <c r="BZ33" i="18" l="1"/>
  <c r="BY33" i="18"/>
  <c r="BZ30" i="18"/>
  <c r="BY30" i="18"/>
  <c r="BZ27" i="18"/>
  <c r="BY27" i="18"/>
  <c r="E24" i="18"/>
  <c r="E23" i="18"/>
  <c r="E22" i="18"/>
  <c r="E21" i="18"/>
  <c r="BU20" i="18"/>
  <c r="BU19" i="18"/>
  <c r="BT13" i="18"/>
  <c r="BS12" i="18"/>
  <c r="BS11" i="18"/>
  <c r="BR6" i="18"/>
  <c r="BR5" i="18"/>
  <c r="BR4" i="18"/>
  <c r="BR3" i="18"/>
  <c r="BZ46" i="16"/>
  <c r="BY46" i="16"/>
  <c r="BZ43" i="16"/>
  <c r="BY43" i="16"/>
  <c r="BZ40" i="16"/>
  <c r="BY40" i="16"/>
  <c r="G38" i="16"/>
  <c r="G37" i="16"/>
  <c r="G36" i="16"/>
  <c r="G34" i="16"/>
  <c r="L31" i="16"/>
  <c r="G31" i="16"/>
  <c r="G29" i="16"/>
  <c r="F29" i="16"/>
  <c r="G28" i="16"/>
  <c r="F28" i="16"/>
  <c r="G30" i="16"/>
  <c r="F30" i="16"/>
  <c r="G27" i="16"/>
  <c r="F27" i="16"/>
  <c r="DK14" i="3"/>
  <c r="DJ14" i="3"/>
  <c r="DI14" i="3"/>
  <c r="DH14" i="3"/>
  <c r="DK13" i="3"/>
  <c r="DJ13" i="3"/>
  <c r="DI13" i="3"/>
  <c r="DH13" i="3"/>
  <c r="DK10" i="3"/>
  <c r="DJ10" i="3"/>
  <c r="DI10" i="3"/>
  <c r="DH10" i="3"/>
  <c r="DK9" i="3"/>
  <c r="DJ9" i="3"/>
  <c r="DI9" i="3"/>
  <c r="DH9" i="3"/>
  <c r="DK6" i="3"/>
  <c r="DJ6" i="3"/>
  <c r="DI6" i="3"/>
  <c r="DH6" i="3"/>
  <c r="DK5" i="3"/>
  <c r="DJ5" i="3"/>
  <c r="DI5" i="3"/>
  <c r="DH5" i="3"/>
  <c r="DK4" i="3"/>
  <c r="DJ4" i="3"/>
  <c r="DI4" i="3"/>
  <c r="DH4" i="3"/>
  <c r="DK2" i="3"/>
  <c r="DJ2" i="3"/>
  <c r="DI2" i="3"/>
  <c r="DH2" i="3"/>
  <c r="K24" i="16"/>
  <c r="G24" i="16"/>
  <c r="G22" i="16"/>
  <c r="F22" i="16"/>
  <c r="G23" i="16"/>
  <c r="F23" i="16"/>
  <c r="DK16" i="3"/>
  <c r="DJ16" i="3"/>
  <c r="DI16" i="3"/>
  <c r="DH16" i="3"/>
  <c r="DK15" i="3"/>
  <c r="DJ15" i="3"/>
  <c r="DI15" i="3"/>
  <c r="DH15" i="3"/>
  <c r="DK12" i="3"/>
  <c r="DJ12" i="3"/>
  <c r="DI12" i="3"/>
  <c r="DH12" i="3"/>
  <c r="DK11" i="3"/>
  <c r="DJ11" i="3"/>
  <c r="DI11" i="3"/>
  <c r="DH11" i="3"/>
  <c r="DK8" i="3"/>
  <c r="DJ8" i="3"/>
  <c r="DI8" i="3"/>
  <c r="DH8" i="3"/>
  <c r="DK7" i="3"/>
  <c r="DJ7" i="3"/>
  <c r="DI7" i="3"/>
  <c r="DH7" i="3"/>
  <c r="DK3" i="3"/>
  <c r="DJ3" i="3"/>
  <c r="DI3" i="3"/>
  <c r="DH3" i="3"/>
  <c r="DK1" i="3"/>
  <c r="DJ1" i="3"/>
  <c r="DI1" i="3"/>
  <c r="DH1" i="3"/>
  <c r="BT13" i="16"/>
  <c r="BS12" i="16"/>
  <c r="BS11" i="16"/>
  <c r="BR6" i="16"/>
  <c r="BR5" i="16"/>
  <c r="BR4" i="16"/>
  <c r="BR3" i="16"/>
  <c r="BZ28" i="14"/>
  <c r="BY28" i="14"/>
  <c r="BZ25" i="14"/>
  <c r="BY25" i="14"/>
  <c r="BZ22" i="14"/>
  <c r="BY22" i="14"/>
  <c r="BS11" i="14"/>
  <c r="BR6" i="14"/>
  <c r="BR5" i="14"/>
  <c r="BR4" i="14"/>
  <c r="BR3" i="14"/>
  <c r="BZ30" i="12"/>
  <c r="BY30" i="12"/>
  <c r="BZ27" i="12"/>
  <c r="BY27" i="12"/>
  <c r="BZ24" i="12"/>
  <c r="BY24" i="12"/>
  <c r="BT13" i="12"/>
  <c r="BS12" i="12"/>
  <c r="BS11" i="12"/>
  <c r="BR6" i="12"/>
  <c r="BR5" i="12"/>
  <c r="BR4" i="12"/>
  <c r="BR3" i="12"/>
  <c r="BZ160" i="10"/>
  <c r="BY160" i="10"/>
  <c r="BZ157" i="10"/>
  <c r="BY157" i="10"/>
  <c r="BZ154" i="10"/>
  <c r="BY154" i="10"/>
  <c r="BZ148" i="10"/>
  <c r="BY148" i="10"/>
  <c r="BZ145" i="10"/>
  <c r="BY145" i="10"/>
  <c r="I137" i="10"/>
  <c r="I138" i="10" s="1"/>
  <c r="I140" i="10" s="1"/>
  <c r="I37" i="10" s="1"/>
  <c r="I135" i="10"/>
  <c r="I133" i="10"/>
  <c r="I132" i="10"/>
  <c r="I131" i="10"/>
  <c r="I130" i="10"/>
  <c r="I128" i="10"/>
  <c r="I126" i="10"/>
  <c r="I125" i="10"/>
  <c r="K124" i="10"/>
  <c r="I124" i="10"/>
  <c r="K122" i="10"/>
  <c r="I122" i="10"/>
  <c r="K121" i="10"/>
  <c r="I121" i="10"/>
  <c r="K120" i="10"/>
  <c r="I120" i="10"/>
  <c r="I119" i="10"/>
  <c r="I118" i="10"/>
  <c r="I117" i="10"/>
  <c r="I116" i="10"/>
  <c r="I115" i="10"/>
  <c r="I114" i="10"/>
  <c r="I113" i="10"/>
  <c r="K112" i="10"/>
  <c r="I112" i="10"/>
  <c r="I110" i="10"/>
  <c r="K109" i="10"/>
  <c r="I109" i="10"/>
  <c r="I107" i="10"/>
  <c r="K105" i="10"/>
  <c r="I105" i="10"/>
  <c r="K104" i="10"/>
  <c r="I104" i="10"/>
  <c r="K103" i="10"/>
  <c r="I103" i="10"/>
  <c r="K102" i="10"/>
  <c r="I102" i="10"/>
  <c r="K101" i="10"/>
  <c r="I101" i="10"/>
  <c r="K100" i="10"/>
  <c r="I100" i="10"/>
  <c r="K99" i="10"/>
  <c r="I99" i="10"/>
  <c r="K98" i="10"/>
  <c r="I98" i="10"/>
  <c r="K97" i="10"/>
  <c r="I97" i="10"/>
  <c r="K96" i="10"/>
  <c r="I96" i="10"/>
  <c r="K95" i="10"/>
  <c r="I95" i="10"/>
  <c r="K94" i="10"/>
  <c r="I94" i="10"/>
  <c r="K93" i="10"/>
  <c r="I93" i="10"/>
  <c r="K92" i="10"/>
  <c r="I92" i="10"/>
  <c r="K91" i="10"/>
  <c r="I91" i="10"/>
  <c r="K90" i="10"/>
  <c r="I90" i="10"/>
  <c r="K88" i="10"/>
  <c r="I88" i="10"/>
  <c r="I86" i="10"/>
  <c r="K84" i="10"/>
  <c r="I84" i="10"/>
  <c r="K83" i="10"/>
  <c r="I83" i="10"/>
  <c r="J38" i="10"/>
  <c r="I38" i="10"/>
  <c r="J39" i="10"/>
  <c r="I39" i="10"/>
  <c r="Q80" i="10"/>
  <c r="I80" i="10"/>
  <c r="P80" i="10"/>
  <c r="IU14" i="9"/>
  <c r="IT14" i="9"/>
  <c r="IS14" i="9"/>
  <c r="IR14" i="9"/>
  <c r="IQ14" i="9"/>
  <c r="IP14" i="9"/>
  <c r="IO14" i="9"/>
  <c r="IN14" i="9"/>
  <c r="GG14" i="9"/>
  <c r="GF14" i="9"/>
  <c r="GE14" i="9"/>
  <c r="GD14" i="9"/>
  <c r="GC14" i="9"/>
  <c r="GB14" i="9"/>
  <c r="GA14" i="9"/>
  <c r="FZ14" i="9"/>
  <c r="FY14" i="9"/>
  <c r="FX14" i="9"/>
  <c r="IM14" i="9"/>
  <c r="IL14" i="9"/>
  <c r="IK14" i="9"/>
  <c r="IJ14" i="9"/>
  <c r="II14" i="9"/>
  <c r="IH14" i="9"/>
  <c r="IG14" i="9"/>
  <c r="IF14" i="9"/>
  <c r="IE14" i="9"/>
  <c r="ID14" i="9"/>
  <c r="IC14" i="9"/>
  <c r="IB14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IU80" i="10"/>
  <c r="IT80" i="10"/>
  <c r="IS80" i="10"/>
  <c r="IR80" i="10"/>
  <c r="IQ80" i="10"/>
  <c r="IP80" i="10"/>
  <c r="IO80" i="10"/>
  <c r="IN80" i="10"/>
  <c r="GG80" i="10"/>
  <c r="GF80" i="10"/>
  <c r="GE80" i="10"/>
  <c r="GD80" i="10"/>
  <c r="GC80" i="10"/>
  <c r="GB80" i="10"/>
  <c r="GA80" i="10"/>
  <c r="FZ80" i="10"/>
  <c r="FY80" i="10"/>
  <c r="FX80" i="10"/>
  <c r="IM80" i="10"/>
  <c r="IL80" i="10"/>
  <c r="IK80" i="10"/>
  <c r="IJ80" i="10"/>
  <c r="II80" i="10"/>
  <c r="IH80" i="10"/>
  <c r="IG80" i="10"/>
  <c r="IF80" i="10"/>
  <c r="IE80" i="10"/>
  <c r="ID80" i="10"/>
  <c r="IC80" i="10"/>
  <c r="IB80" i="10"/>
  <c r="FW80" i="10"/>
  <c r="FV80" i="10"/>
  <c r="FU80" i="10"/>
  <c r="FT80" i="10"/>
  <c r="FS80" i="10"/>
  <c r="FR80" i="10"/>
  <c r="FQ80" i="10"/>
  <c r="FP80" i="10"/>
  <c r="FO80" i="10"/>
  <c r="FN80" i="10"/>
  <c r="FM80" i="10"/>
  <c r="FL80" i="10"/>
  <c r="FK80" i="10"/>
  <c r="FJ80" i="10"/>
  <c r="FI80" i="10"/>
  <c r="FH80" i="10"/>
  <c r="FG80" i="10"/>
  <c r="FF80" i="10"/>
  <c r="FE80" i="10"/>
  <c r="FD80" i="10"/>
  <c r="FC80" i="10"/>
  <c r="FB80" i="10"/>
  <c r="FA80" i="10"/>
  <c r="EZ80" i="10"/>
  <c r="EY80" i="10"/>
  <c r="EX80" i="10"/>
  <c r="EW80" i="10"/>
  <c r="EV80" i="10"/>
  <c r="EU80" i="10"/>
  <c r="ET80" i="10"/>
  <c r="ER80" i="10"/>
  <c r="EQ80" i="10"/>
  <c r="EP80" i="10"/>
  <c r="EO80" i="10"/>
  <c r="EN80" i="10"/>
  <c r="EM80" i="10"/>
  <c r="EL80" i="10"/>
  <c r="EK80" i="10"/>
  <c r="EJ80" i="10"/>
  <c r="EI80" i="10"/>
  <c r="EH80" i="10"/>
  <c r="EG80" i="10"/>
  <c r="EF80" i="10"/>
  <c r="EE80" i="10"/>
  <c r="ED80" i="10"/>
  <c r="EC80" i="10"/>
  <c r="BP80" i="9"/>
  <c r="BO80" i="9"/>
  <c r="BN80" i="9"/>
  <c r="BM80" i="9"/>
  <c r="BL80" i="9"/>
  <c r="BK80" i="9"/>
  <c r="BJ80" i="9"/>
  <c r="BI80" i="9"/>
  <c r="BH80" i="9"/>
  <c r="BG80" i="9"/>
  <c r="BF80" i="9"/>
  <c r="BE80" i="9"/>
  <c r="BD14" i="9"/>
  <c r="BC14" i="9"/>
  <c r="BB14" i="9"/>
  <c r="BA14" i="9"/>
  <c r="AZ14" i="9"/>
  <c r="AY14" i="9"/>
  <c r="DZ14" i="9"/>
  <c r="DY14" i="9"/>
  <c r="DX14" i="9"/>
  <c r="DW14" i="9"/>
  <c r="DO14" i="9"/>
  <c r="DN14" i="9"/>
  <c r="DM14" i="9"/>
  <c r="DL14" i="9"/>
  <c r="DD14" i="9"/>
  <c r="DB14" i="9"/>
  <c r="DA14" i="9"/>
  <c r="CZ14" i="9"/>
  <c r="CX14" i="9"/>
  <c r="CW14" i="9"/>
  <c r="BP80" i="10"/>
  <c r="BO80" i="10"/>
  <c r="BN80" i="10"/>
  <c r="BM80" i="10"/>
  <c r="BL80" i="10"/>
  <c r="BK80" i="10"/>
  <c r="BJ80" i="10"/>
  <c r="BI80" i="10"/>
  <c r="BH80" i="10"/>
  <c r="BG80" i="10"/>
  <c r="BF80" i="10"/>
  <c r="BE80" i="10"/>
  <c r="BD80" i="10"/>
  <c r="BC80" i="10"/>
  <c r="BB80" i="10"/>
  <c r="BA80" i="10"/>
  <c r="AZ80" i="10"/>
  <c r="AY80" i="10"/>
  <c r="DZ80" i="10"/>
  <c r="DY80" i="10"/>
  <c r="DX80" i="10"/>
  <c r="DW80" i="10"/>
  <c r="DO80" i="10"/>
  <c r="DN80" i="10"/>
  <c r="DM80" i="10"/>
  <c r="DL80" i="10"/>
  <c r="DD80" i="10"/>
  <c r="DB80" i="10"/>
  <c r="DA80" i="10"/>
  <c r="CZ80" i="10"/>
  <c r="CX80" i="10"/>
  <c r="CW80" i="10"/>
  <c r="CU80" i="10"/>
  <c r="CT80" i="10"/>
  <c r="CS80" i="10"/>
  <c r="CR80" i="10"/>
  <c r="CQ80" i="10"/>
  <c r="CP80" i="10"/>
  <c r="CO80" i="10"/>
  <c r="CN80" i="10"/>
  <c r="CM80" i="10"/>
  <c r="CL80" i="10"/>
  <c r="CK80" i="10"/>
  <c r="CJ80" i="10"/>
  <c r="CI80" i="10"/>
  <c r="CH80" i="10"/>
  <c r="CG80" i="10"/>
  <c r="CF80" i="10"/>
  <c r="AN78" i="10"/>
  <c r="EW32" i="1"/>
  <c r="AQ32" i="1"/>
  <c r="DO32" i="1"/>
  <c r="DN32" i="1"/>
  <c r="BA32" i="1"/>
  <c r="EV32" i="1"/>
  <c r="ER32" i="1" s="1"/>
  <c r="AO32" i="1"/>
  <c r="AK32" i="1" s="1"/>
  <c r="F72" i="7" s="1"/>
  <c r="I32" i="1"/>
  <c r="B73" i="10" s="1"/>
  <c r="I31" i="1"/>
  <c r="DW32" i="1"/>
  <c r="AN70" i="10"/>
  <c r="EW30" i="1"/>
  <c r="AQ30" i="1"/>
  <c r="DO30" i="1"/>
  <c r="DN30" i="1"/>
  <c r="BS30" i="1"/>
  <c r="EU30" i="1"/>
  <c r="AN30" i="1"/>
  <c r="BB30" i="1"/>
  <c r="ET30" i="1"/>
  <c r="AM30" i="1"/>
  <c r="BA30" i="1"/>
  <c r="EV30" i="1"/>
  <c r="AO30" i="1"/>
  <c r="I30" i="1"/>
  <c r="I29" i="1"/>
  <c r="DW30" i="1"/>
  <c r="AN61" i="10"/>
  <c r="BB28" i="1"/>
  <c r="ET28" i="1"/>
  <c r="ER28" i="1" s="1"/>
  <c r="AM28" i="1"/>
  <c r="AK28" i="1" s="1"/>
  <c r="F58" i="10" s="1"/>
  <c r="I28" i="1"/>
  <c r="C59" i="10" s="1"/>
  <c r="I27" i="1"/>
  <c r="DW28" i="1"/>
  <c r="AN56" i="10"/>
  <c r="DO26" i="1"/>
  <c r="DN26" i="1"/>
  <c r="BS26" i="1"/>
  <c r="EU26" i="1"/>
  <c r="AN26" i="1"/>
  <c r="BB26" i="1"/>
  <c r="ET26" i="1"/>
  <c r="ER26" i="1" s="1"/>
  <c r="AM26" i="1"/>
  <c r="AK26" i="1" s="1"/>
  <c r="F50" i="7" s="1"/>
  <c r="I26" i="1"/>
  <c r="B51" i="10" s="1"/>
  <c r="I25" i="1"/>
  <c r="DW26" i="1"/>
  <c r="BX48" i="10"/>
  <c r="BT35" i="10"/>
  <c r="BV34" i="10"/>
  <c r="BT31" i="10"/>
  <c r="BT30" i="10"/>
  <c r="BT29" i="10"/>
  <c r="BU23" i="10"/>
  <c r="BW14" i="10"/>
  <c r="BS13" i="10"/>
  <c r="BS12" i="10"/>
  <c r="BS11" i="10"/>
  <c r="BR10" i="10"/>
  <c r="BR9" i="10"/>
  <c r="BR8" i="10"/>
  <c r="BR7" i="10"/>
  <c r="BZ160" i="7"/>
  <c r="BY160" i="7"/>
  <c r="BZ157" i="7"/>
  <c r="BY157" i="7"/>
  <c r="BZ154" i="7"/>
  <c r="BY154" i="7"/>
  <c r="BZ148" i="7"/>
  <c r="BY148" i="7"/>
  <c r="BZ145" i="7"/>
  <c r="BY145" i="7"/>
  <c r="I133" i="7"/>
  <c r="I132" i="7"/>
  <c r="I131" i="7"/>
  <c r="I121" i="7"/>
  <c r="I120" i="7"/>
  <c r="I119" i="7"/>
  <c r="I118" i="7"/>
  <c r="I117" i="7"/>
  <c r="I116" i="7"/>
  <c r="I115" i="7"/>
  <c r="I114" i="7"/>
  <c r="I113" i="7"/>
  <c r="K112" i="7"/>
  <c r="I112" i="7"/>
  <c r="I110" i="7"/>
  <c r="IU14" i="6"/>
  <c r="IT14" i="6"/>
  <c r="IS14" i="6"/>
  <c r="IQ14" i="6"/>
  <c r="IP14" i="6"/>
  <c r="IO14" i="6"/>
  <c r="GG14" i="6"/>
  <c r="GF14" i="6"/>
  <c r="GE14" i="6"/>
  <c r="GD14" i="6"/>
  <c r="GC14" i="6"/>
  <c r="GA14" i="6"/>
  <c r="FZ14" i="6"/>
  <c r="FY14" i="6"/>
  <c r="IM14" i="6"/>
  <c r="IL14" i="6"/>
  <c r="IK14" i="6"/>
  <c r="IJ14" i="6"/>
  <c r="IG14" i="6"/>
  <c r="IF14" i="6"/>
  <c r="IE14" i="6"/>
  <c r="ID14" i="6"/>
  <c r="IC14" i="6"/>
  <c r="FV14" i="6"/>
  <c r="FU14" i="6"/>
  <c r="FT14" i="6"/>
  <c r="FS14" i="6"/>
  <c r="FQ14" i="6"/>
  <c r="FP14" i="6"/>
  <c r="FO14" i="6"/>
  <c r="FJ14" i="6"/>
  <c r="FI14" i="6"/>
  <c r="FH14" i="6"/>
  <c r="FG14" i="6"/>
  <c r="FF14" i="6"/>
  <c r="FE14" i="6"/>
  <c r="FD14" i="6"/>
  <c r="FC14" i="6"/>
  <c r="FB14" i="6"/>
  <c r="FA14" i="6"/>
  <c r="EZ14" i="6"/>
  <c r="IU80" i="7"/>
  <c r="IT80" i="7"/>
  <c r="IS80" i="7"/>
  <c r="IQ80" i="7"/>
  <c r="IP80" i="7"/>
  <c r="IO80" i="7"/>
  <c r="GG80" i="7"/>
  <c r="GF80" i="7"/>
  <c r="GE80" i="7"/>
  <c r="GD80" i="7"/>
  <c r="GC80" i="7"/>
  <c r="GA80" i="7"/>
  <c r="FZ80" i="7"/>
  <c r="FY80" i="7"/>
  <c r="IM80" i="7"/>
  <c r="IL80" i="7"/>
  <c r="IK80" i="7"/>
  <c r="IJ80" i="7"/>
  <c r="IG80" i="7"/>
  <c r="IF80" i="7"/>
  <c r="IE80" i="7"/>
  <c r="ID80" i="7"/>
  <c r="IC80" i="7"/>
  <c r="FV80" i="7"/>
  <c r="FU80" i="7"/>
  <c r="FT80" i="7"/>
  <c r="FS80" i="7"/>
  <c r="FQ80" i="7"/>
  <c r="FP80" i="7"/>
  <c r="FO80" i="7"/>
  <c r="FJ80" i="7"/>
  <c r="FI80" i="7"/>
  <c r="FH80" i="7"/>
  <c r="FG80" i="7"/>
  <c r="FF80" i="7"/>
  <c r="FE80" i="7"/>
  <c r="FD80" i="7"/>
  <c r="FC80" i="7"/>
  <c r="FB80" i="7"/>
  <c r="FA80" i="7"/>
  <c r="EZ80" i="7"/>
  <c r="ER80" i="7"/>
  <c r="I105" i="7" s="1"/>
  <c r="EQ80" i="7"/>
  <c r="I104" i="7" s="1"/>
  <c r="EP80" i="7"/>
  <c r="I103" i="7" s="1"/>
  <c r="EO80" i="7"/>
  <c r="I102" i="7" s="1"/>
  <c r="EN80" i="7"/>
  <c r="I101" i="7" s="1"/>
  <c r="EM80" i="7"/>
  <c r="I100" i="7" s="1"/>
  <c r="EK80" i="7"/>
  <c r="I98" i="7" s="1"/>
  <c r="EJ80" i="7"/>
  <c r="I97" i="7" s="1"/>
  <c r="EI80" i="7"/>
  <c r="I96" i="7" s="1"/>
  <c r="EH80" i="7"/>
  <c r="I95" i="7" s="1"/>
  <c r="EG80" i="7"/>
  <c r="I94" i="7" s="1"/>
  <c r="EF80" i="7"/>
  <c r="I93" i="7" s="1"/>
  <c r="EE80" i="7"/>
  <c r="I92" i="7" s="1"/>
  <c r="ED80" i="7"/>
  <c r="I91" i="7" s="1"/>
  <c r="EC80" i="7"/>
  <c r="I90" i="7" s="1"/>
  <c r="BP80" i="6"/>
  <c r="BO80" i="6"/>
  <c r="BN80" i="6"/>
  <c r="BM80" i="6"/>
  <c r="BL80" i="6"/>
  <c r="BK80" i="6"/>
  <c r="BJ80" i="6"/>
  <c r="BI80" i="6"/>
  <c r="BH80" i="6"/>
  <c r="BG80" i="6"/>
  <c r="BF80" i="6"/>
  <c r="BE80" i="6"/>
  <c r="BD14" i="6"/>
  <c r="BC14" i="6"/>
  <c r="BB14" i="6"/>
  <c r="BA14" i="6"/>
  <c r="AZ14" i="6"/>
  <c r="AY14" i="6"/>
  <c r="DY14" i="6"/>
  <c r="DX14" i="6"/>
  <c r="DD14" i="6"/>
  <c r="BP80" i="7"/>
  <c r="BO80" i="7"/>
  <c r="BN80" i="7"/>
  <c r="BM80" i="7"/>
  <c r="BL80" i="7"/>
  <c r="BK80" i="7"/>
  <c r="BJ80" i="7"/>
  <c r="BI80" i="7"/>
  <c r="BH80" i="7"/>
  <c r="BG80" i="7"/>
  <c r="BF80" i="7"/>
  <c r="BE80" i="7"/>
  <c r="BD80" i="7"/>
  <c r="BC80" i="7"/>
  <c r="BB80" i="7"/>
  <c r="BA80" i="7"/>
  <c r="AZ80" i="7"/>
  <c r="AY80" i="7"/>
  <c r="DY80" i="7"/>
  <c r="DX80" i="7"/>
  <c r="DD80" i="7"/>
  <c r="CU80" i="7"/>
  <c r="K105" i="7" s="1"/>
  <c r="CT80" i="7"/>
  <c r="K104" i="7" s="1"/>
  <c r="CS80" i="7"/>
  <c r="K103" i="7" s="1"/>
  <c r="CR80" i="7"/>
  <c r="K102" i="7" s="1"/>
  <c r="CQ80" i="7"/>
  <c r="K101" i="7" s="1"/>
  <c r="CP80" i="7"/>
  <c r="K100" i="7" s="1"/>
  <c r="CN80" i="7"/>
  <c r="K98" i="7" s="1"/>
  <c r="CM80" i="7"/>
  <c r="K97" i="7" s="1"/>
  <c r="CL80" i="7"/>
  <c r="K96" i="7" s="1"/>
  <c r="CK80" i="7"/>
  <c r="K95" i="7" s="1"/>
  <c r="CJ80" i="7"/>
  <c r="K94" i="7" s="1"/>
  <c r="CI80" i="7"/>
  <c r="K93" i="7" s="1"/>
  <c r="CH80" i="7"/>
  <c r="K92" i="7" s="1"/>
  <c r="CG80" i="7"/>
  <c r="K91" i="7" s="1"/>
  <c r="CF80" i="7"/>
  <c r="K90" i="7" s="1"/>
  <c r="AN78" i="7"/>
  <c r="AN70" i="7"/>
  <c r="AN61" i="7"/>
  <c r="AN56" i="7"/>
  <c r="BX48" i="7"/>
  <c r="BT35" i="7"/>
  <c r="BV34" i="7"/>
  <c r="BT31" i="7"/>
  <c r="BT30" i="7"/>
  <c r="BT29" i="7"/>
  <c r="BU23" i="7"/>
  <c r="BW14" i="7"/>
  <c r="BS13" i="7"/>
  <c r="BS12" i="7"/>
  <c r="BS11" i="7"/>
  <c r="BR10" i="7"/>
  <c r="BR9" i="7"/>
  <c r="BR8" i="7"/>
  <c r="BR7" i="7"/>
  <c r="C51" i="7" l="1"/>
  <c r="C73" i="7"/>
  <c r="C73" i="10"/>
  <c r="F72" i="10"/>
  <c r="ER30" i="1"/>
  <c r="AK30" i="1"/>
  <c r="F63" i="10" s="1"/>
  <c r="B59" i="7"/>
  <c r="B59" i="10"/>
  <c r="F58" i="7"/>
  <c r="C51" i="10"/>
  <c r="F50" i="10"/>
  <c r="B73" i="7"/>
  <c r="C59" i="7"/>
  <c r="B5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" i="3"/>
  <c r="CY1" i="3"/>
  <c r="CZ1" i="3"/>
  <c r="DA1" i="3"/>
  <c r="DB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A4" i="3"/>
  <c r="DB4" i="3"/>
  <c r="DC4" i="3"/>
  <c r="A5" i="3"/>
  <c r="CY5" i="3"/>
  <c r="CZ5" i="3"/>
  <c r="DA5" i="3"/>
  <c r="DB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A8" i="3"/>
  <c r="DB8" i="3"/>
  <c r="DC8" i="3"/>
  <c r="A9" i="3"/>
  <c r="CY9" i="3"/>
  <c r="CZ9" i="3"/>
  <c r="DA9" i="3"/>
  <c r="DB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A12" i="3"/>
  <c r="DB12" i="3"/>
  <c r="DC12" i="3"/>
  <c r="A13" i="3"/>
  <c r="CY13" i="3"/>
  <c r="CZ13" i="3"/>
  <c r="DA13" i="3"/>
  <c r="DB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A16" i="3"/>
  <c r="DB16" i="3"/>
  <c r="DC1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5" i="1"/>
  <c r="D25" i="1"/>
  <c r="CX2" i="3"/>
  <c r="K25" i="1"/>
  <c r="AC25" i="1"/>
  <c r="CQ25" i="1" s="1"/>
  <c r="P25" i="1" s="1"/>
  <c r="AE25" i="1"/>
  <c r="AD25" i="1" s="1"/>
  <c r="AF25" i="1"/>
  <c r="AG25" i="1"/>
  <c r="CU25" i="1" s="1"/>
  <c r="T25" i="1" s="1"/>
  <c r="AH25" i="1"/>
  <c r="AI25" i="1"/>
  <c r="AJ25" i="1"/>
  <c r="CS25" i="1"/>
  <c r="R25" i="1" s="1"/>
  <c r="CT25" i="1"/>
  <c r="S25" i="1" s="1"/>
  <c r="CV25" i="1"/>
  <c r="U25" i="1" s="1"/>
  <c r="CW25" i="1"/>
  <c r="V25" i="1" s="1"/>
  <c r="CX25" i="1"/>
  <c r="W25" i="1" s="1"/>
  <c r="FR25" i="1"/>
  <c r="GL25" i="1"/>
  <c r="GO25" i="1"/>
  <c r="GP25" i="1"/>
  <c r="GV25" i="1"/>
  <c r="HC25" i="1"/>
  <c r="GX25" i="1" s="1"/>
  <c r="C26" i="1"/>
  <c r="D26" i="1"/>
  <c r="CX4" i="3"/>
  <c r="K26" i="1"/>
  <c r="AC26" i="1"/>
  <c r="CQ26" i="1" s="1"/>
  <c r="P26" i="1" s="1"/>
  <c r="AE26" i="1"/>
  <c r="AF26" i="1"/>
  <c r="AG26" i="1"/>
  <c r="CU26" i="1" s="1"/>
  <c r="T26" i="1" s="1"/>
  <c r="AH26" i="1"/>
  <c r="AI26" i="1"/>
  <c r="AJ26" i="1"/>
  <c r="CT26" i="1"/>
  <c r="S26" i="1" s="1"/>
  <c r="CV26" i="1"/>
  <c r="U26" i="1" s="1"/>
  <c r="CW26" i="1"/>
  <c r="V26" i="1" s="1"/>
  <c r="CX26" i="1"/>
  <c r="W26" i="1" s="1"/>
  <c r="FR26" i="1"/>
  <c r="GL26" i="1"/>
  <c r="GO26" i="1"/>
  <c r="GP26" i="1"/>
  <c r="GV26" i="1"/>
  <c r="HC26" i="1"/>
  <c r="GX26" i="1" s="1"/>
  <c r="C27" i="1"/>
  <c r="D27" i="1"/>
  <c r="CX5" i="3"/>
  <c r="K27" i="1"/>
  <c r="S27" i="1"/>
  <c r="U27" i="1"/>
  <c r="AC27" i="1"/>
  <c r="CQ27" i="1" s="1"/>
  <c r="AD27" i="1"/>
  <c r="AE27" i="1"/>
  <c r="AF27" i="1"/>
  <c r="AB27" i="1" s="1"/>
  <c r="AG27" i="1"/>
  <c r="CU27" i="1" s="1"/>
  <c r="AH27" i="1"/>
  <c r="AI27" i="1"/>
  <c r="CW27" i="1" s="1"/>
  <c r="V27" i="1" s="1"/>
  <c r="AJ27" i="1"/>
  <c r="CR27" i="1"/>
  <c r="Q27" i="1" s="1"/>
  <c r="CS27" i="1"/>
  <c r="R27" i="1" s="1"/>
  <c r="CT27" i="1"/>
  <c r="CV27" i="1"/>
  <c r="CX27" i="1"/>
  <c r="W27" i="1" s="1"/>
  <c r="FR27" i="1"/>
  <c r="GL27" i="1"/>
  <c r="GO27" i="1"/>
  <c r="GP27" i="1"/>
  <c r="GV27" i="1"/>
  <c r="GX27" i="1"/>
  <c r="HC27" i="1"/>
  <c r="C28" i="1"/>
  <c r="D28" i="1"/>
  <c r="CX6" i="3"/>
  <c r="K28" i="1"/>
  <c r="R28" i="1"/>
  <c r="V28" i="1"/>
  <c r="AC28" i="1"/>
  <c r="AD28" i="1"/>
  <c r="AE28" i="1"/>
  <c r="AF28" i="1"/>
  <c r="CT28" i="1" s="1"/>
  <c r="AG28" i="1"/>
  <c r="AH28" i="1"/>
  <c r="AI28" i="1"/>
  <c r="AJ28" i="1"/>
  <c r="CX28" i="1" s="1"/>
  <c r="W28" i="1" s="1"/>
  <c r="CQ28" i="1"/>
  <c r="P28" i="1" s="1"/>
  <c r="CS28" i="1"/>
  <c r="CU28" i="1"/>
  <c r="T28" i="1" s="1"/>
  <c r="CV28" i="1"/>
  <c r="U28" i="1" s="1"/>
  <c r="CW28" i="1"/>
  <c r="FR28" i="1"/>
  <c r="GL28" i="1"/>
  <c r="GO28" i="1"/>
  <c r="GP28" i="1"/>
  <c r="GV28" i="1"/>
  <c r="HC28" i="1"/>
  <c r="GX28" i="1" s="1"/>
  <c r="C29" i="1"/>
  <c r="D29" i="1"/>
  <c r="S29" i="1"/>
  <c r="K29" i="1"/>
  <c r="AC29" i="1"/>
  <c r="CQ29" i="1" s="1"/>
  <c r="AE29" i="1"/>
  <c r="CS29" i="1" s="1"/>
  <c r="AF29" i="1"/>
  <c r="AG29" i="1"/>
  <c r="AH29" i="1"/>
  <c r="AI29" i="1"/>
  <c r="AJ29" i="1"/>
  <c r="CT29" i="1"/>
  <c r="CU29" i="1"/>
  <c r="CV29" i="1"/>
  <c r="CW29" i="1"/>
  <c r="CX29" i="1"/>
  <c r="FR29" i="1"/>
  <c r="GL29" i="1"/>
  <c r="GO29" i="1"/>
  <c r="GP29" i="1"/>
  <c r="GV29" i="1"/>
  <c r="HC29" i="1"/>
  <c r="C30" i="1"/>
  <c r="D30" i="1"/>
  <c r="K30" i="1"/>
  <c r="AC30" i="1"/>
  <c r="CQ30" i="1" s="1"/>
  <c r="AE30" i="1"/>
  <c r="AF30" i="1"/>
  <c r="AG30" i="1"/>
  <c r="CU30" i="1" s="1"/>
  <c r="AH30" i="1"/>
  <c r="AI30" i="1"/>
  <c r="AJ30" i="1"/>
  <c r="CX30" i="1" s="1"/>
  <c r="W30" i="1" s="1"/>
  <c r="CW30" i="1"/>
  <c r="FR30" i="1"/>
  <c r="GL30" i="1"/>
  <c r="GO30" i="1"/>
  <c r="GP30" i="1"/>
  <c r="GV30" i="1"/>
  <c r="HC30" i="1"/>
  <c r="C31" i="1"/>
  <c r="D31" i="1"/>
  <c r="CX15" i="3"/>
  <c r="K31" i="1"/>
  <c r="AC31" i="1"/>
  <c r="CQ31" i="1" s="1"/>
  <c r="P31" i="1" s="1"/>
  <c r="AE31" i="1"/>
  <c r="AD31" i="1" s="1"/>
  <c r="AF31" i="1"/>
  <c r="CT31" i="1" s="1"/>
  <c r="S31" i="1" s="1"/>
  <c r="AG31" i="1"/>
  <c r="CU31" i="1" s="1"/>
  <c r="T31" i="1" s="1"/>
  <c r="AH31" i="1"/>
  <c r="AI31" i="1"/>
  <c r="AJ31" i="1"/>
  <c r="CX31" i="1" s="1"/>
  <c r="W31" i="1" s="1"/>
  <c r="CS31" i="1"/>
  <c r="R31" i="1" s="1"/>
  <c r="CV31" i="1"/>
  <c r="U31" i="1" s="1"/>
  <c r="CW31" i="1"/>
  <c r="V31" i="1" s="1"/>
  <c r="FR31" i="1"/>
  <c r="GL31" i="1"/>
  <c r="GO31" i="1"/>
  <c r="GP31" i="1"/>
  <c r="GV31" i="1"/>
  <c r="HC31" i="1"/>
  <c r="GX31" i="1" s="1"/>
  <c r="C32" i="1"/>
  <c r="D32" i="1"/>
  <c r="CX16" i="3"/>
  <c r="K32" i="1"/>
  <c r="AC32" i="1"/>
  <c r="CQ32" i="1" s="1"/>
  <c r="P32" i="1" s="1"/>
  <c r="AE32" i="1"/>
  <c r="AD32" i="1" s="1"/>
  <c r="AF32" i="1"/>
  <c r="AG32" i="1"/>
  <c r="CU32" i="1" s="1"/>
  <c r="T32" i="1" s="1"/>
  <c r="AH32" i="1"/>
  <c r="H77" i="10" s="1"/>
  <c r="AI32" i="1"/>
  <c r="AJ32" i="1"/>
  <c r="CX32" i="1" s="1"/>
  <c r="W32" i="1" s="1"/>
  <c r="CS32" i="1"/>
  <c r="R32" i="1" s="1"/>
  <c r="CW32" i="1"/>
  <c r="V32" i="1" s="1"/>
  <c r="FR32" i="1"/>
  <c r="GL32" i="1"/>
  <c r="GO32" i="1"/>
  <c r="GP32" i="1"/>
  <c r="GV32" i="1"/>
  <c r="HC32" i="1"/>
  <c r="GX32" i="1" s="1"/>
  <c r="B34" i="1"/>
  <c r="B22" i="1" s="1"/>
  <c r="C34" i="1"/>
  <c r="C22" i="1" s="1"/>
  <c r="D34" i="1"/>
  <c r="D22" i="1" s="1"/>
  <c r="F34" i="1"/>
  <c r="F22" i="1" s="1"/>
  <c r="G34" i="1"/>
  <c r="G22" i="1" s="1"/>
  <c r="BB34" i="1"/>
  <c r="BB22" i="1" s="1"/>
  <c r="BX34" i="1"/>
  <c r="BX22" i="1" s="1"/>
  <c r="CK34" i="1"/>
  <c r="CK22" i="1" s="1"/>
  <c r="CL34" i="1"/>
  <c r="CL22" i="1" s="1"/>
  <c r="FP34" i="1"/>
  <c r="FP22" i="1" s="1"/>
  <c r="GC34" i="1"/>
  <c r="GC22" i="1" s="1"/>
  <c r="GD34" i="1"/>
  <c r="GD22" i="1" s="1"/>
  <c r="B64" i="1"/>
  <c r="B18" i="1" s="1"/>
  <c r="C64" i="1"/>
  <c r="C18" i="1" s="1"/>
  <c r="D64" i="1"/>
  <c r="D18" i="1" s="1"/>
  <c r="F64" i="1"/>
  <c r="F18" i="1" s="1"/>
  <c r="G64" i="1"/>
  <c r="G18" i="1" s="1"/>
  <c r="H76" i="10" l="1"/>
  <c r="T75" i="10"/>
  <c r="H75" i="10"/>
  <c r="T74" i="10"/>
  <c r="T76" i="10"/>
  <c r="H74" i="10"/>
  <c r="F63" i="7"/>
  <c r="H68" i="10"/>
  <c r="T67" i="10"/>
  <c r="T64" i="10"/>
  <c r="H67" i="10"/>
  <c r="H64" i="10"/>
  <c r="T68" i="10"/>
  <c r="H66" i="10"/>
  <c r="GM66" i="10"/>
  <c r="H69" i="7"/>
  <c r="H69" i="10"/>
  <c r="CR28" i="1"/>
  <c r="Q28" i="1" s="1"/>
  <c r="U60" i="7" s="1"/>
  <c r="T60" i="10"/>
  <c r="H60" i="10"/>
  <c r="H55" i="10"/>
  <c r="H53" i="10"/>
  <c r="H54" i="10"/>
  <c r="T55" i="10"/>
  <c r="GM53" i="10"/>
  <c r="T54" i="10"/>
  <c r="CV32" i="1"/>
  <c r="U32" i="1" s="1"/>
  <c r="H77" i="7"/>
  <c r="CV30" i="1"/>
  <c r="CT32" i="1"/>
  <c r="S32" i="1" s="1"/>
  <c r="H76" i="7"/>
  <c r="T75" i="7"/>
  <c r="H75" i="7"/>
  <c r="T74" i="7"/>
  <c r="T76" i="7"/>
  <c r="H74" i="7"/>
  <c r="CC34" i="1"/>
  <c r="AT34" i="1" s="1"/>
  <c r="AT64" i="1" s="1"/>
  <c r="AT18" i="1" s="1"/>
  <c r="BZ34" i="1"/>
  <c r="BZ22" i="1" s="1"/>
  <c r="AD30" i="1"/>
  <c r="H66" i="7"/>
  <c r="GM66" i="7"/>
  <c r="CT30" i="1"/>
  <c r="S30" i="1" s="1"/>
  <c r="H68" i="7"/>
  <c r="T67" i="7"/>
  <c r="T64" i="7"/>
  <c r="H67" i="7"/>
  <c r="H64" i="7"/>
  <c r="T68" i="7"/>
  <c r="CS30" i="1"/>
  <c r="R30" i="1" s="1"/>
  <c r="FV34" i="1"/>
  <c r="EM34" i="1" s="1"/>
  <c r="CD34" i="1"/>
  <c r="CD22" i="1" s="1"/>
  <c r="AB28" i="1"/>
  <c r="T60" i="7"/>
  <c r="H60" i="7"/>
  <c r="FR34" i="1"/>
  <c r="EI34" i="1" s="1"/>
  <c r="FQ34" i="1"/>
  <c r="FQ22" i="1" s="1"/>
  <c r="BY34" i="1"/>
  <c r="BY22" i="1" s="1"/>
  <c r="FU34" i="1"/>
  <c r="FU22" i="1" s="1"/>
  <c r="AD26" i="1"/>
  <c r="H55" i="7"/>
  <c r="H53" i="7"/>
  <c r="H54" i="7"/>
  <c r="T55" i="7"/>
  <c r="GM53" i="7"/>
  <c r="T54" i="7"/>
  <c r="P29" i="1"/>
  <c r="V30" i="1"/>
  <c r="EA34" i="1" s="1"/>
  <c r="U30" i="1"/>
  <c r="I69" i="10" s="1"/>
  <c r="P30" i="1"/>
  <c r="DU34" i="1" s="1"/>
  <c r="GX30" i="1"/>
  <c r="GB34" i="1" s="1"/>
  <c r="ES34" i="1" s="1"/>
  <c r="T30" i="1"/>
  <c r="DY34" i="1" s="1"/>
  <c r="DY22" i="1" s="1"/>
  <c r="GX29" i="1"/>
  <c r="CJ34" i="1" s="1"/>
  <c r="BA34" i="1" s="1"/>
  <c r="U29" i="1"/>
  <c r="AH34" i="1" s="1"/>
  <c r="R29" i="1"/>
  <c r="CZ29" i="1" s="1"/>
  <c r="Y29" i="1" s="1"/>
  <c r="W29" i="1"/>
  <c r="AJ34" i="1" s="1"/>
  <c r="W34" i="1" s="1"/>
  <c r="T29" i="1"/>
  <c r="V29" i="1"/>
  <c r="AI34" i="1" s="1"/>
  <c r="F47" i="1"/>
  <c r="AO34" i="1"/>
  <c r="CZ31" i="1"/>
  <c r="Y31" i="1" s="1"/>
  <c r="AF34" i="1"/>
  <c r="CY31" i="1"/>
  <c r="X31" i="1" s="1"/>
  <c r="EB34" i="1"/>
  <c r="CZ27" i="1"/>
  <c r="Y27" i="1" s="1"/>
  <c r="CR32" i="1"/>
  <c r="Q32" i="1" s="1"/>
  <c r="AB32" i="1"/>
  <c r="CR31" i="1"/>
  <c r="Q31" i="1" s="1"/>
  <c r="CP31" i="1" s="1"/>
  <c r="O31" i="1" s="1"/>
  <c r="AB31" i="1"/>
  <c r="CR30" i="1"/>
  <c r="Q30" i="1" s="1"/>
  <c r="BB64" i="1"/>
  <c r="EU34" i="1"/>
  <c r="EG34" i="1"/>
  <c r="BC34" i="1"/>
  <c r="T27" i="1"/>
  <c r="P27" i="1"/>
  <c r="CY27" i="1"/>
  <c r="X27" i="1" s="1"/>
  <c r="CR25" i="1"/>
  <c r="Q25" i="1" s="1"/>
  <c r="CP25" i="1" s="1"/>
  <c r="O25" i="1" s="1"/>
  <c r="AB25" i="1"/>
  <c r="ET34" i="1"/>
  <c r="CX12" i="3"/>
  <c r="CX11" i="3"/>
  <c r="CX14" i="3"/>
  <c r="CX13" i="3"/>
  <c r="AD29" i="1"/>
  <c r="CR29" i="1" s="1"/>
  <c r="Q29" i="1" s="1"/>
  <c r="CX8" i="3"/>
  <c r="CX7" i="3"/>
  <c r="CX10" i="3"/>
  <c r="CX9" i="3"/>
  <c r="S28" i="1"/>
  <c r="CP28" i="1" s="1"/>
  <c r="O28" i="1" s="1"/>
  <c r="CY25" i="1"/>
  <c r="X25" i="1" s="1"/>
  <c r="CZ25" i="1"/>
  <c r="Y25" i="1" s="1"/>
  <c r="CS26" i="1"/>
  <c r="R26" i="1" s="1"/>
  <c r="K53" i="10" s="1"/>
  <c r="CX1" i="3"/>
  <c r="CX3" i="3"/>
  <c r="DJ80" i="10" l="1"/>
  <c r="K118" i="10" s="1"/>
  <c r="DJ14" i="9"/>
  <c r="DT80" i="10"/>
  <c r="K133" i="10" s="1"/>
  <c r="DT14" i="9"/>
  <c r="R78" i="10"/>
  <c r="HN74" i="10"/>
  <c r="HX74" i="10"/>
  <c r="I74" i="10"/>
  <c r="HB74" i="10"/>
  <c r="AP74" i="10"/>
  <c r="HL74" i="10"/>
  <c r="GK74" i="10"/>
  <c r="HF74" i="10"/>
  <c r="GJ74" i="10"/>
  <c r="I77" i="7"/>
  <c r="I77" i="10"/>
  <c r="U74" i="10"/>
  <c r="V74" i="10"/>
  <c r="HB75" i="10"/>
  <c r="HF75" i="10"/>
  <c r="I75" i="10"/>
  <c r="HN75" i="10"/>
  <c r="GY75" i="10"/>
  <c r="HL75" i="10"/>
  <c r="AP75" i="10"/>
  <c r="HN76" i="10"/>
  <c r="GZ76" i="10"/>
  <c r="HB76" i="10"/>
  <c r="HL76" i="10"/>
  <c r="AP76" i="10"/>
  <c r="HF76" i="10"/>
  <c r="I76" i="10"/>
  <c r="CZ32" i="1"/>
  <c r="Y32" i="1" s="1"/>
  <c r="HX66" i="10"/>
  <c r="I66" i="10"/>
  <c r="U64" i="10"/>
  <c r="V64" i="10"/>
  <c r="HL64" i="10"/>
  <c r="GK64" i="10"/>
  <c r="HN64" i="10"/>
  <c r="HF64" i="10"/>
  <c r="GJ64" i="10"/>
  <c r="I64" i="10"/>
  <c r="HB64" i="10"/>
  <c r="AP64" i="10"/>
  <c r="HX64" i="10"/>
  <c r="K66" i="7"/>
  <c r="K66" i="10"/>
  <c r="HN68" i="10"/>
  <c r="GZ68" i="10"/>
  <c r="HL68" i="10"/>
  <c r="AP68" i="10"/>
  <c r="HB68" i="10"/>
  <c r="HF68" i="10"/>
  <c r="I68" i="10"/>
  <c r="HB67" i="10"/>
  <c r="HF67" i="10"/>
  <c r="HN67" i="10"/>
  <c r="GY67" i="10"/>
  <c r="HL67" i="10"/>
  <c r="AP67" i="10"/>
  <c r="I67" i="10"/>
  <c r="U65" i="7"/>
  <c r="U65" i="10"/>
  <c r="H65" i="7"/>
  <c r="T65" i="10"/>
  <c r="R70" i="10" s="1"/>
  <c r="H65" i="10"/>
  <c r="AB30" i="1"/>
  <c r="T65" i="7"/>
  <c r="HL65" i="7" s="1"/>
  <c r="R61" i="10"/>
  <c r="HF60" i="10"/>
  <c r="AP60" i="10"/>
  <c r="AM61" i="10" s="1"/>
  <c r="I58" i="10" s="1"/>
  <c r="HO60" i="10"/>
  <c r="HB60" i="10"/>
  <c r="I60" i="10"/>
  <c r="HM60" i="10"/>
  <c r="GL60" i="10"/>
  <c r="HK60" i="10"/>
  <c r="GJ60" i="10"/>
  <c r="U60" i="10"/>
  <c r="HN55" i="10"/>
  <c r="GZ55" i="10"/>
  <c r="HL55" i="10"/>
  <c r="AP55" i="10"/>
  <c r="HB55" i="10"/>
  <c r="HF55" i="10"/>
  <c r="I55" i="10"/>
  <c r="HB54" i="10"/>
  <c r="HN54" i="10"/>
  <c r="GY54" i="10"/>
  <c r="HF54" i="10"/>
  <c r="HL54" i="10"/>
  <c r="AP54" i="10"/>
  <c r="I54" i="10"/>
  <c r="HX53" i="10"/>
  <c r="I53" i="10"/>
  <c r="T52" i="7"/>
  <c r="GJ52" i="7" s="1"/>
  <c r="T52" i="10"/>
  <c r="R56" i="10" s="1"/>
  <c r="H52" i="10"/>
  <c r="CC22" i="1"/>
  <c r="EY14" i="6"/>
  <c r="EY80" i="7"/>
  <c r="EI64" i="1"/>
  <c r="EI18" i="1" s="1"/>
  <c r="DJ80" i="7"/>
  <c r="K118" i="7" s="1"/>
  <c r="DJ14" i="6"/>
  <c r="P53" i="1"/>
  <c r="DT80" i="7"/>
  <c r="K133" i="7" s="1"/>
  <c r="DT14" i="6"/>
  <c r="DW80" i="7"/>
  <c r="DW14" i="6"/>
  <c r="CY32" i="1"/>
  <c r="X32" i="1" s="1"/>
  <c r="CP32" i="1"/>
  <c r="O32" i="1" s="1"/>
  <c r="GN32" i="1" s="1"/>
  <c r="R78" i="7"/>
  <c r="HN74" i="7"/>
  <c r="HX74" i="7"/>
  <c r="I74" i="7"/>
  <c r="HL74" i="7"/>
  <c r="GK74" i="7"/>
  <c r="AP74" i="7"/>
  <c r="HF74" i="7"/>
  <c r="GJ74" i="7"/>
  <c r="HB74" i="7"/>
  <c r="U74" i="7"/>
  <c r="V74" i="7"/>
  <c r="HB75" i="7"/>
  <c r="HF75" i="7"/>
  <c r="HN75" i="7"/>
  <c r="GY75" i="7"/>
  <c r="HL75" i="7"/>
  <c r="AP75" i="7"/>
  <c r="I75" i="7"/>
  <c r="HN76" i="7"/>
  <c r="GZ76" i="7"/>
  <c r="HB76" i="7"/>
  <c r="HL76" i="7"/>
  <c r="AP76" i="7"/>
  <c r="HF76" i="7"/>
  <c r="I76" i="7"/>
  <c r="AQ34" i="1"/>
  <c r="AQ64" i="1" s="1"/>
  <c r="AP34" i="1"/>
  <c r="AP64" i="1" s="1"/>
  <c r="CI34" i="1"/>
  <c r="AZ34" i="1" s="1"/>
  <c r="CG34" i="1"/>
  <c r="CG22" i="1" s="1"/>
  <c r="FY34" i="1"/>
  <c r="EP34" i="1" s="1"/>
  <c r="H52" i="7"/>
  <c r="CY29" i="1"/>
  <c r="X29" i="1" s="1"/>
  <c r="EI22" i="1"/>
  <c r="FR22" i="1"/>
  <c r="CR26" i="1"/>
  <c r="Q26" i="1" s="1"/>
  <c r="U52" i="10" s="1"/>
  <c r="HL64" i="7"/>
  <c r="GK64" i="7"/>
  <c r="HF64" i="7"/>
  <c r="GJ64" i="7"/>
  <c r="HX64" i="7"/>
  <c r="I64" i="7"/>
  <c r="HB64" i="7"/>
  <c r="AP64" i="7"/>
  <c r="HN64" i="7"/>
  <c r="HX66" i="7"/>
  <c r="I66" i="7"/>
  <c r="DZ34" i="1"/>
  <c r="DZ22" i="1" s="1"/>
  <c r="I69" i="7"/>
  <c r="AB26" i="1"/>
  <c r="HN68" i="7"/>
  <c r="GZ68" i="7"/>
  <c r="HL68" i="7"/>
  <c r="AP68" i="7"/>
  <c r="HB68" i="7"/>
  <c r="HF68" i="7"/>
  <c r="I68" i="7"/>
  <c r="HB67" i="7"/>
  <c r="HN67" i="7"/>
  <c r="GY67" i="7"/>
  <c r="I67" i="7"/>
  <c r="HL67" i="7"/>
  <c r="AP67" i="7"/>
  <c r="HF67" i="7"/>
  <c r="U64" i="7"/>
  <c r="V64" i="7"/>
  <c r="CO80" i="7" s="1"/>
  <c r="K99" i="7" s="1"/>
  <c r="P44" i="1"/>
  <c r="FV22" i="1"/>
  <c r="CZ30" i="1"/>
  <c r="Y30" i="1" s="1"/>
  <c r="CY30" i="1"/>
  <c r="X30" i="1" s="1"/>
  <c r="U67" i="10" s="1"/>
  <c r="AR65" i="7"/>
  <c r="K65" i="7"/>
  <c r="AU34" i="1"/>
  <c r="AU64" i="1" s="1"/>
  <c r="EH34" i="1"/>
  <c r="DL34" i="1"/>
  <c r="DL64" i="1" s="1"/>
  <c r="AJ22" i="1"/>
  <c r="GA34" i="1"/>
  <c r="GA22" i="1" s="1"/>
  <c r="R61" i="7"/>
  <c r="HF60" i="7"/>
  <c r="AP60" i="7"/>
  <c r="AM61" i="7" s="1"/>
  <c r="I58" i="7" s="1"/>
  <c r="GL60" i="7"/>
  <c r="HO60" i="7"/>
  <c r="HB60" i="7"/>
  <c r="I60" i="7"/>
  <c r="HM60" i="7"/>
  <c r="HK60" i="7"/>
  <c r="GJ60" i="7"/>
  <c r="S61" i="7"/>
  <c r="J61" i="7" s="1"/>
  <c r="K60" i="7"/>
  <c r="AR60" i="7"/>
  <c r="AO61" i="7" s="1"/>
  <c r="EL34" i="1"/>
  <c r="AG34" i="1"/>
  <c r="AG22" i="1" s="1"/>
  <c r="GB22" i="1"/>
  <c r="CJ22" i="1"/>
  <c r="I53" i="7"/>
  <c r="HX53" i="7"/>
  <c r="HN55" i="7"/>
  <c r="GZ55" i="7"/>
  <c r="HL55" i="7"/>
  <c r="AP55" i="7"/>
  <c r="HF55" i="7"/>
  <c r="I55" i="7"/>
  <c r="HB55" i="7"/>
  <c r="HB54" i="7"/>
  <c r="HN54" i="7"/>
  <c r="GY54" i="7"/>
  <c r="AP54" i="7"/>
  <c r="HL54" i="7"/>
  <c r="HF54" i="7"/>
  <c r="I54" i="7"/>
  <c r="CY26" i="1"/>
  <c r="X26" i="1" s="1"/>
  <c r="K53" i="7"/>
  <c r="CP29" i="1"/>
  <c r="O29" i="1" s="1"/>
  <c r="GN29" i="1" s="1"/>
  <c r="AE34" i="1"/>
  <c r="AE22" i="1" s="1"/>
  <c r="F52" i="1"/>
  <c r="F16" i="2" s="1"/>
  <c r="F18" i="2" s="1"/>
  <c r="AT22" i="1"/>
  <c r="EM22" i="1"/>
  <c r="EM64" i="1"/>
  <c r="F82" i="1"/>
  <c r="AK34" i="1"/>
  <c r="CZ26" i="1"/>
  <c r="Y26" i="1" s="1"/>
  <c r="U55" i="10" s="1"/>
  <c r="DW34" i="1"/>
  <c r="CZ28" i="1"/>
  <c r="Y28" i="1" s="1"/>
  <c r="DX34" i="1"/>
  <c r="CY28" i="1"/>
  <c r="X28" i="1" s="1"/>
  <c r="K58" i="10" s="1"/>
  <c r="ET22" i="1"/>
  <c r="P47" i="1"/>
  <c r="ET64" i="1"/>
  <c r="AB29" i="1"/>
  <c r="BC22" i="1"/>
  <c r="F50" i="1"/>
  <c r="BC64" i="1"/>
  <c r="DU22" i="1"/>
  <c r="FX34" i="1"/>
  <c r="DH34" i="1"/>
  <c r="FW34" i="1"/>
  <c r="FZ34" i="1"/>
  <c r="BB18" i="1"/>
  <c r="F77" i="1"/>
  <c r="ES22" i="1"/>
  <c r="P54" i="1"/>
  <c r="ES64" i="1"/>
  <c r="BA22" i="1"/>
  <c r="F54" i="1"/>
  <c r="BA64" i="1"/>
  <c r="GM25" i="1"/>
  <c r="GN25" i="1"/>
  <c r="EU22" i="1"/>
  <c r="P50" i="1"/>
  <c r="EU64" i="1"/>
  <c r="CP30" i="1"/>
  <c r="O30" i="1" s="1"/>
  <c r="EG22" i="1"/>
  <c r="P38" i="1"/>
  <c r="EG64" i="1"/>
  <c r="EB22" i="1"/>
  <c r="DO34" i="1"/>
  <c r="AD34" i="1"/>
  <c r="CP27" i="1"/>
  <c r="O27" i="1" s="1"/>
  <c r="AC34" i="1"/>
  <c r="F44" i="1"/>
  <c r="GN31" i="1"/>
  <c r="GM31" i="1"/>
  <c r="EA22" i="1"/>
  <c r="DN34" i="1"/>
  <c r="AI22" i="1"/>
  <c r="V34" i="1"/>
  <c r="AL34" i="1"/>
  <c r="AH22" i="1"/>
  <c r="U34" i="1"/>
  <c r="W22" i="1"/>
  <c r="F58" i="1"/>
  <c r="W64" i="1"/>
  <c r="AF22" i="1"/>
  <c r="S34" i="1"/>
  <c r="AO22" i="1"/>
  <c r="F38" i="1"/>
  <c r="AO64" i="1"/>
  <c r="CI22" i="1" l="1"/>
  <c r="FY22" i="1"/>
  <c r="W16" i="2"/>
  <c r="W18" i="2" s="1"/>
  <c r="DR80" i="10"/>
  <c r="K131" i="10" s="1"/>
  <c r="DR14" i="9"/>
  <c r="DG80" i="10"/>
  <c r="K115" i="10" s="1"/>
  <c r="DG14" i="9"/>
  <c r="DC14" i="9"/>
  <c r="DC80" i="10"/>
  <c r="K110" i="10" s="1"/>
  <c r="P43" i="1"/>
  <c r="V16" i="2" s="1"/>
  <c r="V18" i="2" s="1"/>
  <c r="DI14" i="9"/>
  <c r="DS80" i="10"/>
  <c r="K132" i="10" s="1"/>
  <c r="DS14" i="9"/>
  <c r="DI80" i="10"/>
  <c r="K117" i="10" s="1"/>
  <c r="U75" i="7"/>
  <c r="AR75" i="7" s="1"/>
  <c r="U75" i="10"/>
  <c r="AM78" i="10"/>
  <c r="I72" i="10" s="1"/>
  <c r="U76" i="7"/>
  <c r="U76" i="10"/>
  <c r="K74" i="10"/>
  <c r="S78" i="10"/>
  <c r="J78" i="10" s="1"/>
  <c r="AR74" i="10"/>
  <c r="H78" i="10"/>
  <c r="HA78" i="10"/>
  <c r="GM32" i="1"/>
  <c r="K75" i="7"/>
  <c r="K72" i="10"/>
  <c r="K72" i="7"/>
  <c r="HN65" i="7"/>
  <c r="HL52" i="7"/>
  <c r="IH80" i="7" s="1"/>
  <c r="R56" i="7"/>
  <c r="HF65" i="7"/>
  <c r="H70" i="10"/>
  <c r="HA70" i="10"/>
  <c r="K67" i="10"/>
  <c r="AR67" i="10"/>
  <c r="AR64" i="10"/>
  <c r="K64" i="10"/>
  <c r="AQ22" i="1"/>
  <c r="U68" i="7"/>
  <c r="U68" i="10"/>
  <c r="GL65" i="7"/>
  <c r="AP65" i="7"/>
  <c r="R70" i="7"/>
  <c r="P80" i="7" s="1"/>
  <c r="HB65" i="10"/>
  <c r="HN65" i="10"/>
  <c r="GL65" i="10"/>
  <c r="HL65" i="10"/>
  <c r="GJ65" i="10"/>
  <c r="HF65" i="10"/>
  <c r="AP65" i="10"/>
  <c r="AM70" i="10" s="1"/>
  <c r="I63" i="10" s="1"/>
  <c r="I65" i="10"/>
  <c r="I65" i="7"/>
  <c r="GJ65" i="7"/>
  <c r="EV14" i="6" s="1"/>
  <c r="K63" i="10"/>
  <c r="K65" i="10"/>
  <c r="AR65" i="10"/>
  <c r="HB65" i="7"/>
  <c r="FN80" i="7" s="1"/>
  <c r="EL80" i="7"/>
  <c r="I99" i="7" s="1"/>
  <c r="FX80" i="7"/>
  <c r="EW80" i="7"/>
  <c r="FX14" i="6"/>
  <c r="EW14" i="6"/>
  <c r="P55" i="1"/>
  <c r="DL22" i="1"/>
  <c r="HN52" i="7"/>
  <c r="II80" i="7" s="1"/>
  <c r="HB52" i="7"/>
  <c r="HF52" i="7"/>
  <c r="S61" i="10"/>
  <c r="J61" i="10" s="1"/>
  <c r="K60" i="10"/>
  <c r="AR60" i="10"/>
  <c r="AO61" i="10" s="1"/>
  <c r="EC34" i="1"/>
  <c r="EC22" i="1" s="1"/>
  <c r="HA61" i="10"/>
  <c r="H61" i="10"/>
  <c r="FW14" i="6"/>
  <c r="FW80" i="7"/>
  <c r="I124" i="7" s="1"/>
  <c r="IB80" i="7"/>
  <c r="IB14" i="6"/>
  <c r="K55" i="10"/>
  <c r="AR55" i="10"/>
  <c r="U54" i="7"/>
  <c r="U54" i="10"/>
  <c r="H56" i="10"/>
  <c r="HA56" i="10"/>
  <c r="GL52" i="7"/>
  <c r="AP52" i="7"/>
  <c r="AM56" i="7" s="1"/>
  <c r="I50" i="7" s="1"/>
  <c r="I52" i="7"/>
  <c r="U52" i="7"/>
  <c r="DV34" i="1"/>
  <c r="DV22" i="1" s="1"/>
  <c r="HB52" i="10"/>
  <c r="I52" i="10"/>
  <c r="HN52" i="10"/>
  <c r="GL52" i="10"/>
  <c r="HL52" i="10"/>
  <c r="GJ52" i="10"/>
  <c r="HF52" i="10"/>
  <c r="AP52" i="10"/>
  <c r="AM56" i="10" s="1"/>
  <c r="I50" i="10" s="1"/>
  <c r="K52" i="10"/>
  <c r="AR52" i="10"/>
  <c r="CP26" i="1"/>
  <c r="O26" i="1" s="1"/>
  <c r="DT34" i="1" s="1"/>
  <c r="K50" i="10"/>
  <c r="II14" i="6"/>
  <c r="IN80" i="7"/>
  <c r="FK14" i="6"/>
  <c r="IN14" i="6"/>
  <c r="FK80" i="7"/>
  <c r="I125" i="7" s="1"/>
  <c r="FL14" i="6"/>
  <c r="IR80" i="7"/>
  <c r="IR14" i="6"/>
  <c r="FL80" i="7"/>
  <c r="I126" i="7" s="1"/>
  <c r="I122" i="7"/>
  <c r="I109" i="7"/>
  <c r="EU14" i="6"/>
  <c r="EU80" i="7"/>
  <c r="I84" i="7" s="1"/>
  <c r="CX80" i="7"/>
  <c r="K84" i="7" s="1"/>
  <c r="CX14" i="6"/>
  <c r="EH64" i="1"/>
  <c r="P73" i="1" s="1"/>
  <c r="DM14" i="6"/>
  <c r="DM80" i="7"/>
  <c r="K121" i="7" s="1"/>
  <c r="F43" i="1"/>
  <c r="G16" i="2" s="1"/>
  <c r="G18" i="2" s="1"/>
  <c r="EL64" i="1"/>
  <c r="P82" i="1" s="1"/>
  <c r="DR80" i="7"/>
  <c r="K131" i="7" s="1"/>
  <c r="DR14" i="6"/>
  <c r="DC80" i="7"/>
  <c r="K110" i="7" s="1"/>
  <c r="DC14" i="6"/>
  <c r="AU22" i="1"/>
  <c r="AX34" i="1"/>
  <c r="F41" i="1" s="1"/>
  <c r="DL80" i="7"/>
  <c r="K120" i="7" s="1"/>
  <c r="DL14" i="6"/>
  <c r="P74" i="1"/>
  <c r="EH22" i="1"/>
  <c r="DI14" i="6"/>
  <c r="DS80" i="7"/>
  <c r="K132" i="7" s="1"/>
  <c r="DS14" i="6"/>
  <c r="DI80" i="7"/>
  <c r="K117" i="7" s="1"/>
  <c r="DG80" i="7"/>
  <c r="K115" i="7" s="1"/>
  <c r="DG14" i="6"/>
  <c r="K74" i="7"/>
  <c r="AR74" i="7"/>
  <c r="AM78" i="7"/>
  <c r="I72" i="7" s="1"/>
  <c r="GM28" i="1"/>
  <c r="HD28" i="1" s="1"/>
  <c r="GE34" i="1" s="1"/>
  <c r="GE22" i="1" s="1"/>
  <c r="H78" i="7"/>
  <c r="HA78" i="7"/>
  <c r="AP22" i="1"/>
  <c r="DM34" i="1"/>
  <c r="AR64" i="7"/>
  <c r="K64" i="7"/>
  <c r="GN28" i="1"/>
  <c r="AM70" i="7"/>
  <c r="I63" i="7" s="1"/>
  <c r="H70" i="7"/>
  <c r="HA70" i="7"/>
  <c r="K63" i="7"/>
  <c r="U67" i="7"/>
  <c r="K68" i="7"/>
  <c r="AR68" i="7"/>
  <c r="F53" i="1"/>
  <c r="H16" i="2" s="1"/>
  <c r="H18" i="2" s="1"/>
  <c r="ER34" i="1"/>
  <c r="P52" i="1"/>
  <c r="U16" i="2" s="1"/>
  <c r="U18" i="2" s="1"/>
  <c r="T34" i="1"/>
  <c r="T22" i="1" s="1"/>
  <c r="K58" i="7"/>
  <c r="EL22" i="1"/>
  <c r="HA61" i="7"/>
  <c r="H61" i="7"/>
  <c r="GM29" i="1"/>
  <c r="K54" i="7"/>
  <c r="AR54" i="7"/>
  <c r="GM26" i="1"/>
  <c r="U55" i="7"/>
  <c r="H56" i="7"/>
  <c r="HA56" i="7"/>
  <c r="AR52" i="7"/>
  <c r="K52" i="7"/>
  <c r="K50" i="7"/>
  <c r="R34" i="1"/>
  <c r="GN26" i="1"/>
  <c r="EM18" i="1"/>
  <c r="P83" i="1"/>
  <c r="DO22" i="1"/>
  <c r="P58" i="1"/>
  <c r="DO64" i="1"/>
  <c r="FZ22" i="1"/>
  <c r="EQ34" i="1"/>
  <c r="BC18" i="1"/>
  <c r="F80" i="1"/>
  <c r="ET18" i="1"/>
  <c r="P77" i="1"/>
  <c r="AZ22" i="1"/>
  <c r="F45" i="1"/>
  <c r="AZ64" i="1"/>
  <c r="GM27" i="1"/>
  <c r="HD27" i="1" s="1"/>
  <c r="CM34" i="1" s="1"/>
  <c r="GN27" i="1"/>
  <c r="CB34" i="1" s="1"/>
  <c r="EG18" i="1"/>
  <c r="P68" i="1"/>
  <c r="AB34" i="1"/>
  <c r="DH22" i="1"/>
  <c r="P37" i="1"/>
  <c r="DH64" i="1"/>
  <c r="AP18" i="1"/>
  <c r="F73" i="1"/>
  <c r="S22" i="1"/>
  <c r="F49" i="1"/>
  <c r="S64" i="1"/>
  <c r="U22" i="1"/>
  <c r="F56" i="1"/>
  <c r="U64" i="1"/>
  <c r="V22" i="1"/>
  <c r="F57" i="1"/>
  <c r="V64" i="1"/>
  <c r="AD22" i="1"/>
  <c r="Q34" i="1"/>
  <c r="EU18" i="1"/>
  <c r="P80" i="1"/>
  <c r="ES18" i="1"/>
  <c r="P84" i="1"/>
  <c r="FX22" i="1"/>
  <c r="EO34" i="1"/>
  <c r="ED34" i="1"/>
  <c r="DL18" i="1"/>
  <c r="P85" i="1"/>
  <c r="AK22" i="1"/>
  <c r="X34" i="1"/>
  <c r="AO18" i="1"/>
  <c r="F68" i="1"/>
  <c r="EP22" i="1"/>
  <c r="P41" i="1"/>
  <c r="EP64" i="1"/>
  <c r="DX22" i="1"/>
  <c r="DK34" i="1"/>
  <c r="W18" i="1"/>
  <c r="F88" i="1"/>
  <c r="AL22" i="1"/>
  <c r="Y34" i="1"/>
  <c r="DN22" i="1"/>
  <c r="DN64" i="1"/>
  <c r="P57" i="1"/>
  <c r="AC22" i="1"/>
  <c r="P34" i="1"/>
  <c r="CE34" i="1"/>
  <c r="CH34" i="1"/>
  <c r="CF34" i="1"/>
  <c r="GN30" i="1"/>
  <c r="GM30" i="1"/>
  <c r="BA18" i="1"/>
  <c r="F84" i="1"/>
  <c r="FW22" i="1"/>
  <c r="EN34" i="1"/>
  <c r="AU18" i="1"/>
  <c r="F83" i="1"/>
  <c r="AQ18" i="1"/>
  <c r="F74" i="1"/>
  <c r="DW22" i="1"/>
  <c r="DJ34" i="1"/>
  <c r="DH80" i="10" l="1"/>
  <c r="K116" i="10" s="1"/>
  <c r="DH14" i="9"/>
  <c r="DE14" i="9"/>
  <c r="DE80" i="10"/>
  <c r="K113" i="10" s="1"/>
  <c r="DK80" i="10"/>
  <c r="K119" i="10" s="1"/>
  <c r="DK14" i="9"/>
  <c r="DF80" i="10"/>
  <c r="K114" i="10" s="1"/>
  <c r="DF14" i="9"/>
  <c r="EX14" i="6"/>
  <c r="K76" i="7"/>
  <c r="AR76" i="7"/>
  <c r="AO78" i="7" s="1"/>
  <c r="IH14" i="6"/>
  <c r="K75" i="10"/>
  <c r="AR75" i="10"/>
  <c r="S78" i="7"/>
  <c r="J78" i="7" s="1"/>
  <c r="K76" i="10"/>
  <c r="AR76" i="10"/>
  <c r="FN14" i="6"/>
  <c r="GB80" i="7"/>
  <c r="EX80" i="7"/>
  <c r="I107" i="7" s="1"/>
  <c r="EV80" i="7"/>
  <c r="I86" i="7" s="1"/>
  <c r="GB14" i="6"/>
  <c r="K68" i="10"/>
  <c r="AR68" i="10"/>
  <c r="S70" i="10"/>
  <c r="J70" i="10" s="1"/>
  <c r="AO70" i="10"/>
  <c r="I38" i="7"/>
  <c r="I88" i="7"/>
  <c r="DP34" i="1"/>
  <c r="DN80" i="7" s="1"/>
  <c r="EV34" i="1"/>
  <c r="EV22" i="1" s="1"/>
  <c r="K54" i="10"/>
  <c r="AR54" i="10"/>
  <c r="AO56" i="10" s="1"/>
  <c r="S56" i="10"/>
  <c r="J56" i="10" s="1"/>
  <c r="DI34" i="1"/>
  <c r="P46" i="1" s="1"/>
  <c r="DG34" i="1"/>
  <c r="DT22" i="1"/>
  <c r="FT34" i="1"/>
  <c r="EK34" i="1" s="1"/>
  <c r="AX64" i="1"/>
  <c r="AX22" i="1"/>
  <c r="FM80" i="7"/>
  <c r="FM14" i="6"/>
  <c r="I130" i="7"/>
  <c r="FR80" i="7"/>
  <c r="I135" i="7" s="1"/>
  <c r="I137" i="7" s="1"/>
  <c r="I138" i="7" s="1"/>
  <c r="I140" i="7" s="1"/>
  <c r="I37" i="7" s="1"/>
  <c r="FR14" i="6"/>
  <c r="DH80" i="7"/>
  <c r="K116" i="7" s="1"/>
  <c r="DH14" i="6"/>
  <c r="EH18" i="1"/>
  <c r="EL18" i="1"/>
  <c r="CW14" i="6"/>
  <c r="ET14" i="6"/>
  <c r="ET80" i="7"/>
  <c r="CW80" i="7"/>
  <c r="DF80" i="7"/>
  <c r="K114" i="7" s="1"/>
  <c r="DF14" i="6"/>
  <c r="DB80" i="7"/>
  <c r="K109" i="7" s="1"/>
  <c r="DB14" i="6"/>
  <c r="DE14" i="6"/>
  <c r="DE80" i="7"/>
  <c r="K113" i="7" s="1"/>
  <c r="CZ80" i="7"/>
  <c r="CZ14" i="6"/>
  <c r="ER22" i="1"/>
  <c r="DK80" i="7"/>
  <c r="K119" i="7" s="1"/>
  <c r="DK14" i="6"/>
  <c r="P45" i="1"/>
  <c r="F55" i="1"/>
  <c r="T64" i="1"/>
  <c r="T18" i="1" s="1"/>
  <c r="ER64" i="1"/>
  <c r="P56" i="1"/>
  <c r="DM64" i="1"/>
  <c r="DM22" i="1"/>
  <c r="AR67" i="7"/>
  <c r="AO70" i="7" s="1"/>
  <c r="K67" i="7"/>
  <c r="S70" i="7"/>
  <c r="J70" i="7" s="1"/>
  <c r="CA34" i="1"/>
  <c r="CA22" i="1" s="1"/>
  <c r="FS34" i="1"/>
  <c r="EJ34" i="1" s="1"/>
  <c r="K55" i="7"/>
  <c r="AR55" i="7"/>
  <c r="AO56" i="7" s="1"/>
  <c r="S56" i="7"/>
  <c r="F48" i="1"/>
  <c r="J16" i="2" s="1"/>
  <c r="J18" i="2" s="1"/>
  <c r="R64" i="1"/>
  <c r="R22" i="1"/>
  <c r="CH22" i="1"/>
  <c r="AY34" i="1"/>
  <c r="CB22" i="1"/>
  <c r="AS34" i="1"/>
  <c r="P22" i="1"/>
  <c r="P64" i="1"/>
  <c r="F37" i="1"/>
  <c r="U18" i="1"/>
  <c r="F86" i="1"/>
  <c r="AB22" i="1"/>
  <c r="O34" i="1"/>
  <c r="CM22" i="1"/>
  <c r="BD34" i="1"/>
  <c r="X22" i="1"/>
  <c r="F60" i="1"/>
  <c r="X64" i="1"/>
  <c r="EO22" i="1"/>
  <c r="P40" i="1"/>
  <c r="EO64" i="1"/>
  <c r="DJ22" i="1"/>
  <c r="P48" i="1"/>
  <c r="DJ64" i="1"/>
  <c r="CF22" i="1"/>
  <c r="AW34" i="1"/>
  <c r="Y22" i="1"/>
  <c r="F61" i="1"/>
  <c r="Y64" i="1"/>
  <c r="EP18" i="1"/>
  <c r="P71" i="1"/>
  <c r="ED22" i="1"/>
  <c r="DQ34" i="1"/>
  <c r="Q22" i="1"/>
  <c r="F46" i="1"/>
  <c r="Q64" i="1"/>
  <c r="V18" i="1"/>
  <c r="F87" i="1"/>
  <c r="DH18" i="1"/>
  <c r="P67" i="1"/>
  <c r="AZ18" i="1"/>
  <c r="F75" i="1"/>
  <c r="EN22" i="1"/>
  <c r="EN64" i="1"/>
  <c r="P39" i="1"/>
  <c r="CE22" i="1"/>
  <c r="AV34" i="1"/>
  <c r="DN18" i="1"/>
  <c r="P87" i="1"/>
  <c r="P60" i="1"/>
  <c r="DK22" i="1"/>
  <c r="P49" i="1"/>
  <c r="DK64" i="1"/>
  <c r="S18" i="1"/>
  <c r="F79" i="1"/>
  <c r="EQ22" i="1"/>
  <c r="P42" i="1"/>
  <c r="EQ64" i="1"/>
  <c r="DO18" i="1"/>
  <c r="P88" i="1"/>
  <c r="DP80" i="10" l="1"/>
  <c r="DP14" i="9"/>
  <c r="CY80" i="7"/>
  <c r="K86" i="7" s="1"/>
  <c r="CY80" i="10"/>
  <c r="K86" i="10" s="1"/>
  <c r="CY14" i="9"/>
  <c r="DU14" i="9"/>
  <c r="DQ14" i="9"/>
  <c r="DQ80" i="10"/>
  <c r="DU80" i="10"/>
  <c r="K137" i="10" s="1"/>
  <c r="K140" i="10" s="1"/>
  <c r="AO78" i="10"/>
  <c r="DG64" i="1"/>
  <c r="P66" i="1" s="1"/>
  <c r="DP64" i="1"/>
  <c r="DP18" i="1" s="1"/>
  <c r="DP22" i="1"/>
  <c r="DN14" i="6"/>
  <c r="F85" i="1"/>
  <c r="P36" i="1"/>
  <c r="DG22" i="1"/>
  <c r="CY14" i="6"/>
  <c r="P59" i="1"/>
  <c r="EV64" i="1"/>
  <c r="DZ14" i="6"/>
  <c r="DZ80" i="7"/>
  <c r="DA80" i="7"/>
  <c r="DA14" i="6"/>
  <c r="DI22" i="1"/>
  <c r="DI64" i="1"/>
  <c r="FT22" i="1"/>
  <c r="AX18" i="1"/>
  <c r="F71" i="1"/>
  <c r="J56" i="7"/>
  <c r="Q80" i="7"/>
  <c r="I128" i="7"/>
  <c r="I80" i="7"/>
  <c r="DP80" i="7"/>
  <c r="DP14" i="6"/>
  <c r="K122" i="7"/>
  <c r="K88" i="7"/>
  <c r="J38" i="7"/>
  <c r="K83" i="7"/>
  <c r="J39" i="7"/>
  <c r="DO80" i="7"/>
  <c r="DO14" i="6"/>
  <c r="DU14" i="6"/>
  <c r="DQ14" i="6"/>
  <c r="DQ80" i="7"/>
  <c r="DU80" i="7"/>
  <c r="K137" i="7" s="1"/>
  <c r="K140" i="7" s="1"/>
  <c r="I83" i="7"/>
  <c r="I39" i="7"/>
  <c r="P75" i="1"/>
  <c r="ER18" i="1"/>
  <c r="P86" i="1"/>
  <c r="DM18" i="1"/>
  <c r="AR34" i="1"/>
  <c r="IK8" i="1" s="1"/>
  <c r="FS22" i="1"/>
  <c r="R18" i="1"/>
  <c r="F78" i="1"/>
  <c r="Y16" i="2"/>
  <c r="Y18" i="2" s="1"/>
  <c r="DK18" i="1"/>
  <c r="P79" i="1"/>
  <c r="AV22" i="1"/>
  <c r="F39" i="1"/>
  <c r="AV64" i="1"/>
  <c r="EV18" i="1"/>
  <c r="P89" i="1"/>
  <c r="AW22" i="1"/>
  <c r="F40" i="1"/>
  <c r="AW64" i="1"/>
  <c r="X18" i="1"/>
  <c r="F90" i="1"/>
  <c r="EQ18" i="1"/>
  <c r="P72" i="1"/>
  <c r="DQ22" i="1"/>
  <c r="P61" i="1"/>
  <c r="DQ64" i="1"/>
  <c r="Y18" i="1"/>
  <c r="F91" i="1"/>
  <c r="EO18" i="1"/>
  <c r="P70" i="1"/>
  <c r="BD22" i="1"/>
  <c r="F59" i="1"/>
  <c r="BD64" i="1"/>
  <c r="EK22" i="1"/>
  <c r="EK64" i="1"/>
  <c r="P51" i="1"/>
  <c r="T16" i="2" s="1"/>
  <c r="AY22" i="1"/>
  <c r="F42" i="1"/>
  <c r="AY64" i="1"/>
  <c r="EJ22" i="1"/>
  <c r="EJ64" i="1"/>
  <c r="P62" i="1"/>
  <c r="Q18" i="1"/>
  <c r="F76" i="1"/>
  <c r="DJ18" i="1"/>
  <c r="P78" i="1"/>
  <c r="EN18" i="1"/>
  <c r="P69" i="1"/>
  <c r="O22" i="1"/>
  <c r="F36" i="1"/>
  <c r="O64" i="1"/>
  <c r="P18" i="1"/>
  <c r="F67" i="1"/>
  <c r="AS22" i="1"/>
  <c r="F51" i="1"/>
  <c r="E16" i="2" s="1"/>
  <c r="AS64" i="1"/>
  <c r="DG18" i="1" l="1"/>
  <c r="E26" i="10"/>
  <c r="J37" i="10"/>
  <c r="K141" i="10"/>
  <c r="K142" i="10" s="1"/>
  <c r="K80" i="10"/>
  <c r="P90" i="1"/>
  <c r="DI18" i="1"/>
  <c r="P76" i="1"/>
  <c r="AR64" i="1"/>
  <c r="AR18" i="1" s="1"/>
  <c r="J37" i="7"/>
  <c r="K141" i="7"/>
  <c r="K142" i="7" s="1"/>
  <c r="E26" i="7"/>
  <c r="K80" i="7"/>
  <c r="F62" i="1"/>
  <c r="AR22" i="1"/>
  <c r="O18" i="1"/>
  <c r="F66" i="1"/>
  <c r="EJ18" i="1"/>
  <c r="P92" i="1"/>
  <c r="BD18" i="1"/>
  <c r="F89" i="1"/>
  <c r="AS18" i="1"/>
  <c r="F81" i="1"/>
  <c r="T18" i="2"/>
  <c r="X16" i="2"/>
  <c r="X18" i="2" s="1"/>
  <c r="AW18" i="1"/>
  <c r="F70" i="1"/>
  <c r="E18" i="2"/>
  <c r="I16" i="2"/>
  <c r="I18" i="2" s="1"/>
  <c r="AY18" i="1"/>
  <c r="F72" i="1"/>
  <c r="EK18" i="1"/>
  <c r="P81" i="1"/>
  <c r="AV18" i="1"/>
  <c r="F69" i="1"/>
  <c r="DQ18" i="1"/>
  <c r="P91" i="1"/>
  <c r="F92" i="1" l="1"/>
</calcChain>
</file>

<file path=xl/comments1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5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comments6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<sst xmlns="http://schemas.openxmlformats.org/spreadsheetml/2006/main" count="2250" uniqueCount="625">
  <si>
    <t>Smeta.RU  (495) 974-1589</t>
  </si>
  <si>
    <t>_PS_</t>
  </si>
  <si>
    <t>Smeta.RU</t>
  </si>
  <si>
    <t>ПАО "Специализированный застройщик "Орелстрой"  Доп. раб. место  FStS-0025077</t>
  </si>
  <si>
    <t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t>
  </si>
  <si>
    <t>5.1.1.1 Устройство котлована</t>
  </si>
  <si>
    <t/>
  </si>
  <si>
    <t>Кузнецова У. И.</t>
  </si>
  <si>
    <t>Сметные нормы списания</t>
  </si>
  <si>
    <t>Коды ценников</t>
  </si>
  <si>
    <t>Версия 11.0.0.6 от 03.02.2020 г. Типовой расчет (НОВОЕ СТРОИТЕЛЬСТВО или РЕКОНСТРУКЦИЯ) © ООО НТЦ «АиВТ» г.Орел [Комплекс из 2-х многоквартирных домов на земельном участке 13 по ул.Емлютина в д.Образцово, Образцовского с/п Орловского района. 1-й эта~</t>
  </si>
  <si>
    <t>ТСНБ ТЕР-2001 Орловской области (редакция 2014 г. от 2014.10.06)</t>
  </si>
  <si>
    <t>ТСНБ ТЕР-2001 Орловской области (редакция 2014 г. от 2014.10.06) + прайс-листы ПАО "Орелстрой" 2023.01</t>
  </si>
  <si>
    <t>Поправки для базы 2001 года (ред. 2014 года) от 2021.11.17 v56 (ПАО "Орелстрой")</t>
  </si>
  <si>
    <t>5.1.1.1</t>
  </si>
  <si>
    <t>Устройство котлована</t>
  </si>
  <si>
    <t>Удаление насыпного грунта и срезка растительного грунта смотри ЛСР № 4.1.3.1; №4.1.3.2</t>
  </si>
  <si>
    <t>1</t>
  </si>
  <si>
    <t>01-01-021-2</t>
  </si>
  <si>
    <t>Разработка грунта в котлованах экскаватором с ковшом вместимостью 1,0 м3, группа грунтов 2( без учета объема растительного и насыпного грунта)</t>
  </si>
  <si>
    <t>1000 м3 грунта</t>
  </si>
  <si>
    <t>01-01-021-2 ТЕР-57 (ред.2014)</t>
  </si>
  <si>
    <t>Общестроительные и специальные строительные работы</t>
  </si>
  <si>
    <t>Земляные работы, выполняемые  механизированным способом</t>
  </si>
  <si>
    <t>ФЕР-01</t>
  </si>
  <si>
    <t>2</t>
  </si>
  <si>
    <t>т03-21-001-1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</si>
  <si>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</si>
  <si>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</si>
  <si>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т03-21-001-1 ТССЦпг-57 (ред.2014)</t>
  </si>
  <si>
    <t>Перевозка грузов. Автомобильным транспортом</t>
  </si>
  <si>
    <t>Перевозка грузов. Автомобильные перевозки  (2009-2014 г.г., раздел 3-4)</t>
  </si>
  <si>
    <t>перевозки_ФССЦ (2009 - 2014) а/п и тракт.</t>
  </si>
  <si>
    <t>3</t>
  </si>
  <si>
    <t>01-01-016-2</t>
  </si>
  <si>
    <t>Работа на отвале, группа грунтов 2-3</t>
  </si>
  <si>
    <t>01-01-016-2 ТЕР-57 (ред.2014)</t>
  </si>
  <si>
    <t>4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</si>
  <si>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</si>
  <si>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</si>
  <si>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</si>
  <si>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01-02-057-2 ТЕР-57 (ред.2014)</t>
  </si>
  <si>
    <t>Поправка: Прил. 1.12, п.3.187.  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</si>
  <si>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)*1,2</t>
  </si>
  <si>
    <t>Земляные работы, выполняемые  ручным способом</t>
  </si>
  <si>
    <t>Поправка: Прил. 1.12, п.3.187.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</si>
  <si>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</si>
  <si>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</si>
  <si>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</si>
  <si>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</si>
  <si>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</si>
  <si>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</si>
  <si>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</si>
  <si>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</si>
  <si>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</si>
  <si>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</si>
  <si>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</si>
  <si>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</si>
  <si>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</si>
  <si>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</si>
  <si>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</si>
  <si>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</si>
  <si>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</si>
  <si>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</si>
  <si>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</si>
  <si>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</si>
  <si>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</si>
  <si>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</si>
  <si>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</si>
  <si>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</si>
  <si>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</si>
  <si>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</si>
  <si>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</si>
  <si>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</si>
  <si>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</si>
  <si>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</si>
  <si>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</si>
  <si>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</si>
  <si>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</si>
  <si>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</si>
  <si>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</si>
  <si>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</si>
  <si>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</si>
  <si>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</si>
  <si>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</si>
  <si>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</si>
  <si>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</si>
  <si>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</si>
  <si>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</si>
  <si>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</si>
  <si>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</si>
  <si>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</si>
  <si>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</si>
  <si>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</si>
  <si>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</si>
  <si>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</si>
  <si>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</si>
  <si>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</si>
  <si>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</si>
  <si>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</si>
  <si>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</si>
  <si>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</si>
  <si>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</si>
  <si>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</si>
  <si>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</si>
  <si>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</si>
  <si>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</si>
  <si>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</si>
  <si>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</si>
  <si>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</si>
  <si>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</si>
  <si>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</si>
  <si>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</si>
  <si>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</si>
  <si>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</si>
  <si>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</si>
  <si>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</si>
  <si>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</si>
  <si>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</si>
  <si>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</si>
  <si>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</si>
  <si>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</si>
  <si>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</si>
  <si>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</si>
  <si>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</si>
  <si>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</si>
  <si>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</si>
  <si>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</si>
  <si>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</si>
  <si>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</si>
  <si>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</si>
  <si>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</si>
  <si>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</si>
  <si>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</si>
  <si>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</si>
  <si>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</si>
  <si>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</si>
  <si>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</si>
  <si>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</si>
  <si>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</si>
  <si>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</si>
  <si>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</si>
  <si>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</si>
  <si>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</si>
  <si>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</si>
  <si>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</si>
  <si>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</si>
  <si>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</si>
  <si>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</si>
  <si>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</si>
  <si>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</si>
  <si>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</si>
  <si>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</si>
  <si>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</si>
  <si>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</si>
  <si>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</si>
  <si>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</si>
  <si>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</si>
  <si>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</si>
  <si>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</si>
  <si>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</si>
  <si>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</si>
  <si>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</si>
  <si>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</si>
  <si>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</si>
  <si>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</si>
  <si>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</si>
  <si>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</si>
  <si>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</si>
  <si>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2023 г.</t>
  </si>
  <si>
    <t>Сборник индексов</t>
  </si>
  <si>
    <t>ПАО "Орелстрой" (новое строительство)</t>
  </si>
  <si>
    <t>_OBSM_</t>
  </si>
  <si>
    <t>Затраты труда машинистов</t>
  </si>
  <si>
    <t>чел.час</t>
  </si>
  <si>
    <t>060249</t>
  </si>
  <si>
    <t>060249 ТСЭМ-57 (ред.2014)</t>
  </si>
  <si>
    <t>Экскаваторы одноковшовые дизельные на гусеничном ходу при работе на других видах строительства 1 м3</t>
  </si>
  <si>
    <t>маш.-ч</t>
  </si>
  <si>
    <t>400052</t>
  </si>
  <si>
    <t>400052 ТСЭМ-57 (ред.2014)</t>
  </si>
  <si>
    <t>Автомобиль-самосвал, грузоподъемность до 10 т</t>
  </si>
  <si>
    <t>1-1020-2014-57</t>
  </si>
  <si>
    <t>Рабочий строитель среднего разряда 2</t>
  </si>
  <si>
    <t>чел.-ч</t>
  </si>
  <si>
    <t>070149</t>
  </si>
  <si>
    <t>070149 ТСЭМ-57 (ред.2014)</t>
  </si>
  <si>
    <t>Бульдозеры при работе на других видах строительства 79 кВт (108 л.с.)</t>
  </si>
  <si>
    <t>400051</t>
  </si>
  <si>
    <t>400051 ТСЭМ-57 (ред.2014)</t>
  </si>
  <si>
    <t>Автомобиль-самосвал, грузоподъемность до 7 т</t>
  </si>
  <si>
    <t>408-0015</t>
  </si>
  <si>
    <t>408-0015 ТССЦ-57 (изд.2014)</t>
  </si>
  <si>
    <t>Щебень из природного камня для строительных работ марка 800, фракция 20-40 мм</t>
  </si>
  <si>
    <t>м3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</si>
  <si>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</si>
  <si>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</si>
  <si>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</si>
  <si>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</si>
  <si>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</si>
  <si>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</si>
  <si>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</si>
  <si>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</si>
  <si>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</si>
  <si>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</si>
  <si>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</si>
  <si>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</si>
  <si>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3200,7/1000 = 3,2007</t>
  </si>
  <si>
    <t>2240,49*1,75+960,21*1,65 = 5505,204</t>
  </si>
  <si>
    <t>144,21/100 = 1,4421</t>
  </si>
  <si>
    <t>- номер последнего сформированного листа</t>
  </si>
  <si>
    <t>Наименование программного продукта: "Мастер сметных расчетов" v11.5,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</si>
  <si>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</si>
  <si>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</si>
  <si>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</si>
  <si>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</si>
  <si>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</si>
  <si>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</si>
  <si>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</si>
  <si>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</si>
  <si>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</si>
  <si>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</si>
  <si>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</si>
  <si>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</si>
  <si>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</si>
  <si>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</si>
  <si>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5.1.1.1 Устройство котлована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</si>
  <si>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</si>
  <si>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</si>
  <si>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</si>
  <si>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</si>
  <si>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</si>
  <si>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</si>
  <si>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</si>
  <si>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</si>
  <si>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</si>
  <si>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</si>
  <si>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</si>
  <si>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</si>
  <si>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 xml:space="preserve">Составлено в уровне цен : март 2023 года, Индексы пересчета: ПАО "Орелстрой" (новое строительство) </t>
  </si>
  <si>
    <t xml:space="preserve">Наименование и редакция СНБ: 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</si>
  <si>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</si>
  <si>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</si>
  <si>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</si>
  <si>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5.1.1.1 Устройство котлована </t>
  </si>
  <si>
    <t>ЛОКАЛЬНАЯ СМЕТА № 5.1.1.1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</si>
  <si>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</si>
  <si>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</si>
  <si>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</si>
  <si>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</si>
  <si>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</si>
  <si>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</si>
  <si>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</si>
  <si>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</si>
  <si>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 xml:space="preserve">Составлен в базисном уровне цен с пересчетом в текущий уровень цен по состоянию на: март 2023 года, Индексы пересчета: ПАО "Орелстрой" (новое строительство) 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</si>
  <si>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</si>
  <si>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</si>
  <si>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</si>
  <si>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</si>
  <si>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</si>
  <si>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</si>
  <si>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</si>
  <si>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</si>
  <si>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</si>
  <si>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</si>
  <si>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I кв. 2023 г., руб.</t>
  </si>
  <si>
    <t xml:space="preserve">Локальная смета: </t>
  </si>
  <si>
    <t xml:space="preserve"> 5.1.1.1</t>
  </si>
  <si>
    <t xml:space="preserve"> Устройство котлована</t>
  </si>
  <si>
    <t xml:space="preserve">   ЭММ</t>
  </si>
  <si>
    <t xml:space="preserve">   в т.ч. ЗПМ</t>
  </si>
  <si>
    <t xml:space="preserve">   НР от ФОТ</t>
  </si>
  <si>
    <t>%</t>
  </si>
  <si>
    <t xml:space="preserve">   СП от ФОТ</t>
  </si>
  <si>
    <t xml:space="preserve">   Всего по позиции</t>
  </si>
  <si>
    <t xml:space="preserve">   ОЗП</t>
  </si>
  <si>
    <t xml:space="preserve">   Затраты труда рабочих</t>
  </si>
  <si>
    <t>чел-ч</t>
  </si>
  <si>
    <r>
      <t>Разработка грунта вручную в траншеях глубиной до 2 м без креплений с откосами, группа грунтов 2</t>
    </r>
    <r>
      <rPr>
        <sz val="8"/>
        <color rgb="FF0000FF"/>
        <rFont val="Arial"/>
        <family val="2"/>
        <charset val="204"/>
      </rPr>
      <t xml:space="preserve">  (Поправка: Прил. 1.12, п.3.187.) </t>
    </r>
  </si>
  <si>
    <t>*1,2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</si>
  <si>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</si>
  <si>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</si>
  <si>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</si>
  <si>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</si>
  <si>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Трудозатраты рабочих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</si>
  <si>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</si>
  <si>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</si>
  <si>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</si>
  <si>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</si>
  <si>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</si>
  <si>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</si>
  <si>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</si>
  <si>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</si>
  <si>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</si>
  <si>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</si>
  <si>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</si>
  <si>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</si>
  <si>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</si>
  <si>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</si>
  <si>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</si>
  <si>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</si>
  <si>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</si>
  <si>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</si>
  <si>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</si>
  <si>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</si>
  <si>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</si>
  <si>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</si>
  <si>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</si>
  <si>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Стоимость материальных ресурсов</t>
  </si>
  <si>
    <t>Стоимость материальных ресурсов Заказчика</t>
  </si>
  <si>
    <t>Стоимость материальных ресурсов Подрядчика</t>
  </si>
  <si>
    <t>Стоимость оборудования</t>
  </si>
  <si>
    <t>Стоимость оборудования Заказчика</t>
  </si>
  <si>
    <t>Стоимость оборудования Подрядчика</t>
  </si>
  <si>
    <t>ФОТ (справочно)</t>
  </si>
  <si>
    <t>Накладные расходы (НР)</t>
  </si>
  <si>
    <t>Сметная прибыль (СП)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</si>
  <si>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</si>
  <si>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</si>
  <si>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</si>
  <si>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</si>
  <si>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</si>
  <si>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</si>
  <si>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Лимитированные затраты от СМР:</t>
  </si>
  <si>
    <t>Зимнее удорожание</t>
  </si>
  <si>
    <t>Итого</t>
  </si>
  <si>
    <t>Всего:</t>
  </si>
  <si>
    <t>НДС</t>
  </si>
  <si>
    <t>Всего с НДС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</si>
  <si>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</si>
  <si>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</si>
  <si>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</si>
  <si>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</si>
  <si>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</si>
  <si>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</si>
  <si>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>Проверил:</t>
  </si>
  <si>
    <t>Руководитель  сметно-расчетной службы ООО "ОДСК"</t>
  </si>
  <si>
    <t>Артамонова Ю.А.</t>
  </si>
  <si>
    <t>Руководитель ПТС ООО "ОСУ-2"</t>
  </si>
  <si>
    <t>Когтев В.И.</t>
  </si>
  <si>
    <t>Конец</t>
  </si>
  <si>
    <t>SourceOb.2</t>
  </si>
  <si>
    <t>Параметры2.xls</t>
  </si>
  <si>
    <t>Руководитель сметно-расчетной службы ООО "ОДСК"</t>
  </si>
  <si>
    <t>Руководитель ПТО ООО "ОСУ-2"</t>
  </si>
  <si>
    <t>Когтев В. И.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</si>
  <si>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</si>
  <si>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</si>
  <si>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</si>
  <si>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Стройка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</si>
  <si>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</si>
  <si>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</si>
  <si>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</si>
  <si>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</si>
  <si>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</si>
  <si>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</si>
  <si>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</si>
  <si>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</si>
  <si>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</si>
  <si>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</si>
  <si>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</si>
  <si>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</si>
  <si>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</si>
  <si>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</si>
  <si>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</si>
  <si>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</si>
  <si>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</si>
  <si>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</si>
  <si>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</si>
  <si>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Не найдено ни одного ресурса выбранного типа.</t>
  </si>
  <si>
    <t>оборудования</t>
  </si>
  <si>
    <t>РЕСУРСНЫЙ РАСЧЕТ</t>
  </si>
  <si>
    <t>Составлено в уровне цен : 01.01.2000 г.</t>
  </si>
  <si>
    <t>ресурсов</t>
  </si>
  <si>
    <t>Трудовые ресурсы</t>
  </si>
  <si>
    <t>Базовая цена = 0 (не задана)</t>
  </si>
  <si>
    <t>Без НДС</t>
  </si>
  <si>
    <t>Сметная цена в Базовом уровне (соответствует СНБ) = 7.87</t>
  </si>
  <si>
    <t>Машины</t>
  </si>
  <si>
    <t>Сметная цена в Базовом уровне (соответствует СНБ) = 122</t>
  </si>
  <si>
    <t>Сметная цена в Базовом уровне (соответствует СНБ) = 114.93</t>
  </si>
  <si>
    <t>Сметная цена в Базовом уровне (соответствует СНБ) = 88.79</t>
  </si>
  <si>
    <t>Сметная цена в Базовом уровне (соответствует СНБ) = 115.67</t>
  </si>
  <si>
    <t>В том числе:</t>
  </si>
  <si>
    <t>Материальные ресурсы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</si>
  <si>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</si>
  <si>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</si>
  <si>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</si>
  <si>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</si>
  <si>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</si>
  <si>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</si>
  <si>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</si>
  <si>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</si>
  <si>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</si>
  <si>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</si>
  <si>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</si>
  <si>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</si>
  <si>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</si>
  <si>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</si>
  <si>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</si>
  <si>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</si>
  <si>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Устройство котлована</t>
  </si>
  <si>
    <t>14-22-ОДСК-АС1</t>
  </si>
  <si>
    <t xml:space="preserve"> Главный инженер сметчик сметно-расчетной службы ООО "ОДСК"</t>
  </si>
  <si>
    <t>УДТВЕРЖДАЮ</t>
  </si>
  <si>
    <t xml:space="preserve">Директор ООО "ОСУ-2" </t>
  </si>
  <si>
    <t xml:space="preserve">ТЕХНИЧЕСКОЕ ЗАДАНИЕ </t>
  </si>
  <si>
    <t>Вид работ: СМР</t>
  </si>
  <si>
    <t>ООО "______________________________" готово выполнить полный комплекс работ на нижеследующих условиях:</t>
  </si>
  <si>
    <t>ИНН   ______________________________</t>
  </si>
  <si>
    <t>№ 
п/п</t>
  </si>
  <si>
    <t>Ед изм.</t>
  </si>
  <si>
    <t>Кол-во</t>
  </si>
  <si>
    <t>Стоимость руб. с НДС.</t>
  </si>
  <si>
    <t>Итого руб. с НДС</t>
  </si>
  <si>
    <t xml:space="preserve">Примечание: </t>
  </si>
  <si>
    <t xml:space="preserve">Указать количество работников в штате органиации </t>
  </si>
  <si>
    <t xml:space="preserve">Опыт подтверждающий выполнение данного вида работ. (договор, акты выполненных работ на сумму договора) </t>
  </si>
  <si>
    <t>Проект рассмотрен. Расчет договорной цены  выполнен в соответствии с проектом.</t>
  </si>
  <si>
    <t>С условиями договора ознакомлен и согласен. Принимается типовая форма договора в редакции Генподрядчика.</t>
  </si>
  <si>
    <t>С условиями финансирования согласен.</t>
  </si>
  <si>
    <t xml:space="preserve">Приложения (копии документов): </t>
  </si>
  <si>
    <t>свидетельство о регистрации юридического лица (ОГРН);</t>
  </si>
  <si>
    <t>свидетельство о постановке на учет юридического лица  в налоговом органе  (ИНН);</t>
  </si>
  <si>
    <t>устав организации;</t>
  </si>
  <si>
    <t>выписка из ЕГРЮЛ ;</t>
  </si>
  <si>
    <t>документы, подтверждающие полномочия на право подписания договора (приказ о назначении на должность, протокол, решение, доверенность от организации на подписанта о наделении полномочий).</t>
  </si>
  <si>
    <t>бухгалтерский баланс (форма 1,2,5)</t>
  </si>
  <si>
    <t>411-0001</t>
  </si>
  <si>
    <t>Вода</t>
  </si>
  <si>
    <t>т</t>
  </si>
  <si>
    <t>кг</t>
  </si>
  <si>
    <t>Виды работ:</t>
  </si>
  <si>
    <t>100 м2 покрытия</t>
  </si>
  <si>
    <t>шт.</t>
  </si>
  <si>
    <t>ШТ</t>
  </si>
  <si>
    <t>Посулихин А.А.</t>
  </si>
  <si>
    <t xml:space="preserve">Раздел: </t>
  </si>
  <si>
    <t>"Многоквартирный дом, расположенный по адресу: г.Орёл, ул.Раздольная, д.11а"</t>
  </si>
  <si>
    <t>11,3</t>
  </si>
  <si>
    <t>11,2</t>
  </si>
  <si>
    <t>11,1</t>
  </si>
  <si>
    <t>10,1</t>
  </si>
  <si>
    <t>8,4</t>
  </si>
  <si>
    <t>8,3</t>
  </si>
  <si>
    <t>8,2</t>
  </si>
  <si>
    <t>7,1</t>
  </si>
  <si>
    <t>6,1</t>
  </si>
  <si>
    <t>4,3</t>
  </si>
  <si>
    <t>4,2</t>
  </si>
  <si>
    <t>4,1</t>
  </si>
  <si>
    <t>3,2</t>
  </si>
  <si>
    <t>2,2</t>
  </si>
  <si>
    <t>2,1</t>
  </si>
  <si>
    <t>9,2</t>
  </si>
  <si>
    <t>9,1</t>
  </si>
  <si>
    <t>8,1</t>
  </si>
  <si>
    <t>5,2</t>
  </si>
  <si>
    <t>5,1</t>
  </si>
  <si>
    <t>3,1</t>
  </si>
  <si>
    <t>2,3</t>
  </si>
  <si>
    <t>1,3</t>
  </si>
  <si>
    <t>1,2</t>
  </si>
  <si>
    <t>Ветошь</t>
  </si>
  <si>
    <t>101-1757</t>
  </si>
  <si>
    <t>11,5</t>
  </si>
  <si>
    <t>11,4</t>
  </si>
  <si>
    <t>7,2</t>
  </si>
  <si>
    <t>1 т конструкций</t>
  </si>
  <si>
    <t>П.М</t>
  </si>
  <si>
    <t>7,4</t>
  </si>
  <si>
    <t>3,5</t>
  </si>
  <si>
    <t>3,4</t>
  </si>
  <si>
    <t>3,3</t>
  </si>
  <si>
    <t>10 шт.</t>
  </si>
  <si>
    <t>1,1</t>
  </si>
  <si>
    <t>м</t>
  </si>
  <si>
    <t>Доборный профиль ПВХ 120 мм, (распашные конструкции) (офисы)</t>
  </si>
  <si>
    <t>ПВХ-14.2</t>
  </si>
  <si>
    <t>11,8</t>
  </si>
  <si>
    <t>Остекление лоджий ПВХ ОЛ-1*, (распашные конструкции) (офисы)</t>
  </si>
  <si>
    <t>ПВХ-13.1</t>
  </si>
  <si>
    <t>11,7</t>
  </si>
  <si>
    <t>Клинья пластиковые монтажные</t>
  </si>
  <si>
    <t>102-0303</t>
  </si>
  <si>
    <t>11,6</t>
  </si>
  <si>
    <t>Дюбель распорный с металлическим стержнем 10х120 мм  (РАМНЫЙ АНКЕР 10х120мм)</t>
  </si>
  <si>
    <t>101-2796</t>
  </si>
  <si>
    <t>Лента ПСУЛ</t>
  </si>
  <si>
    <t>101-2789</t>
  </si>
  <si>
    <t>Герметик пенополиуретановый (пена монтажная) типа Makrofleks, Soudal в баллонах по 860 мл</t>
  </si>
  <si>
    <t>101-2388</t>
  </si>
  <si>
    <t>Герметик акрилатный однокомпонентный пароизоляционный, марка "СТИЗ В" для монтажа оконных блоков</t>
  </si>
  <si>
    <t>101-8097</t>
  </si>
  <si>
    <t>Герметик акрилатный однокомпонентный паропроницаемый, марка "СТИЗ А" для монтажа оконных блоков</t>
  </si>
  <si>
    <t>101-8096</t>
  </si>
  <si>
    <t>100 М2 ПРОЕМОВ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</si>
  <si>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трехстворчатых, в том числе при наличии створок глухого остекления</t>
  </si>
  <si>
    <t>10-01-034-8</t>
  </si>
  <si>
    <t>Герметик универсальный «LIFE TIME», 300 мл  (ГЕРМЕТИК СИЛИКОНОВЫЙ 270мл)</t>
  </si>
  <si>
    <t>101-2419</t>
  </si>
  <si>
    <t>100 м шва</t>
  </si>
  <si>
    <r>
      <t>Устройство герметизации</t>
    </r>
    <r>
      <rPr>
        <sz val="8"/>
        <color rgb="FF0000FF"/>
        <rFont val="Arial"/>
        <family val="2"/>
        <charset val="204"/>
      </rPr>
      <t xml:space="preserve">  (Поправка: "Орелстрой" прил.3, т.1,п.03) </t>
    </r>
  </si>
  <si>
    <t>07-05-039-8</t>
  </si>
  <si>
    <t>1 м2 развертки</t>
  </si>
  <si>
    <t>Оконные отливы из листовой стали с полимерным покрытием марки RAL 9003 толщиной 0,6 мм</t>
  </si>
  <si>
    <t>ОТЛ-4</t>
  </si>
  <si>
    <t>Шурупы-саморезы кровельные оцинкованные 4,8х29 мм (САМОРЕЗ 5х25мм)</t>
  </si>
  <si>
    <t>101-4645</t>
  </si>
  <si>
    <r>
      <t>Устройство мелких покрытий (брандмауэры, парапеты, свесы и т.п.) из листовой оцинкованной стали</t>
    </r>
    <r>
      <rPr>
        <sz val="8"/>
        <color rgb="FF0000FF"/>
        <rFont val="Arial"/>
        <family val="2"/>
        <charset val="204"/>
      </rPr>
      <t xml:space="preserve">  (Поправка: "Орелстрой" прил.3, т.1,п.11) </t>
    </r>
  </si>
  <si>
    <t>12-01-010-1</t>
  </si>
  <si>
    <t>Лоджия ОЛ -4, (распашные конструкции), стекло  Green (панельная секция)</t>
  </si>
  <si>
    <t>ПВХ-25.13</t>
  </si>
  <si>
    <t>8,8</t>
  </si>
  <si>
    <t>Лоджия ОЛ -1, (распашные конструкции), стекло  Green (панельная секция)</t>
  </si>
  <si>
    <t>ПВХ-25.8</t>
  </si>
  <si>
    <t>8,7</t>
  </si>
  <si>
    <t>8,6</t>
  </si>
  <si>
    <t>8,5</t>
  </si>
  <si>
    <t>Кронштейн стеновой для ПП 60х27 (Анкерная пластина 1,5*25*150мм)</t>
  </si>
  <si>
    <t>201-8194</t>
  </si>
  <si>
    <t>7,7</t>
  </si>
  <si>
    <t>Пропан-бутан, смесь техническая</t>
  </si>
  <si>
    <t>101-2278</t>
  </si>
  <si>
    <t>7,6</t>
  </si>
  <si>
    <t>Дюбель распорный с металлическим стержнем 10х120 мм(РАМНЫЙ АНКЕРНЫЙ ДЮБЕЛЬ 6х40мм)</t>
  </si>
  <si>
    <t>7,5</t>
  </si>
  <si>
    <t>Шурупы-саморезы кровельные оцинкованные 4,8х50 мм (САМОРЕЗ 5х60мм)</t>
  </si>
  <si>
    <t>101-4647</t>
  </si>
  <si>
    <t>Шурупы-саморезы 4,2х16 мм (ДЮБЕЛЬ-ГВОЗДЬ  6х60мм)</t>
  </si>
  <si>
    <t>101-1691</t>
  </si>
  <si>
    <t>Кислород технический газообразный</t>
  </si>
  <si>
    <t>101-0324</t>
  </si>
  <si>
    <r>
      <t>Установка анкерных пластин</t>
    </r>
    <r>
      <rPr>
        <sz val="8"/>
        <color rgb="FF0000FF"/>
        <rFont val="Arial"/>
        <family val="2"/>
        <charset val="204"/>
      </rPr>
      <t xml:space="preserve">  (Поправка: "Орелстрой" прил.3, т.1,п.05) </t>
    </r>
  </si>
  <si>
    <t>09-03-014-1</t>
  </si>
  <si>
    <t>элементы остекления лоджий</t>
  </si>
  <si>
    <t>Шурупы-саморезы 4,2х16 мм (САМОРЕЗ 4х20мм С ПРЕСС ШАЙБОЙ)</t>
  </si>
  <si>
    <t>Состав огнезащитный «АТТИК», пропиточный</t>
  </si>
  <si>
    <t>113-0510</t>
  </si>
  <si>
    <t>100 м2 обрабатываемой поверхности</t>
  </si>
  <si>
    <t>Огнезащитное покрытие деревянных конструкций мансард и элементов кровли составом «АТТИК»</t>
  </si>
  <si>
    <t>26-02-014-1</t>
  </si>
  <si>
    <t>Паста антисептическая</t>
  </si>
  <si>
    <t>113-1777</t>
  </si>
  <si>
    <t>3,6</t>
  </si>
  <si>
    <t>Доски необрезные хвойных пород</t>
  </si>
  <si>
    <t>102-0077</t>
  </si>
  <si>
    <t>Доски обрезные хвойных пород длиной 4-6,5 м, шириной 75-150 мм, толщиной 44 мм и более, II сорта</t>
  </si>
  <si>
    <t>102-0060</t>
  </si>
  <si>
    <t>Бруски обрезные хвойных пород</t>
  </si>
  <si>
    <t>102-0028</t>
  </si>
  <si>
    <t>Шурупы-саморезы кровельные оцинкованные 4,8х70 мм (САМОРЕЗ 8х80мм)</t>
  </si>
  <si>
    <t>101-4648</t>
  </si>
  <si>
    <t>1 м3 древесины в конструкции</t>
  </si>
  <si>
    <t>Установка элементов каркаса из брусьев</t>
  </si>
  <si>
    <t>10-01-010-1</t>
  </si>
  <si>
    <t>Витражное ограждение ПВХ СПК-4.К , (распашные конструкции), стекло  Green (панельная секция)</t>
  </si>
  <si>
    <t>ПВХ-25.7</t>
  </si>
  <si>
    <t>2,11</t>
  </si>
  <si>
    <t>Витражное ограждение ПВХ СПК-1.К, (распашные конструкции), стекло  Green (панельная секция)</t>
  </si>
  <si>
    <t>ПВХ-25.2</t>
  </si>
  <si>
    <t>2,10</t>
  </si>
  <si>
    <t>Витражное ограждение ПВХ СПК-1, (распашные конструкции), стекло  Green (панельная секция)</t>
  </si>
  <si>
    <t>ПВХ-25.1</t>
  </si>
  <si>
    <t>2,9</t>
  </si>
  <si>
    <t>Шурупы-саморезы кровельные оцинкованные 4,8х50 мм (САМОРЕЗ 5х70мм)</t>
  </si>
  <si>
    <t>2,8</t>
  </si>
  <si>
    <t>Саморез 5х20</t>
  </si>
  <si>
    <t>101-2802</t>
  </si>
  <si>
    <t>2,7</t>
  </si>
  <si>
    <t>2,6</t>
  </si>
  <si>
    <t>2,5</t>
  </si>
  <si>
    <t>2,4</t>
  </si>
  <si>
    <t>Анкер крепежный AR 152 c цинолом</t>
  </si>
  <si>
    <t>1,6</t>
  </si>
  <si>
    <t>1,4</t>
  </si>
  <si>
    <t>светопрозрачные конструкции</t>
  </si>
  <si>
    <t xml:space="preserve">5.4.3.1.7 Монтаж витражей и остекление балконов с 01.11.2024 </t>
  </si>
  <si>
    <r>
      <t>Устройство герметизации</t>
    </r>
    <r>
      <rPr>
        <sz val="8"/>
        <color rgb="FF0000FF"/>
        <rFont val="Arial"/>
        <family val="2"/>
        <charset val="204"/>
      </rPr>
      <t xml:space="preserve">  (Поправка: "Орелстрой" прил.3) </t>
    </r>
  </si>
  <si>
    <t>Нащельник размером 94х13 мм (Нащельник ПВХ)</t>
  </si>
  <si>
    <t>203-0643</t>
  </si>
  <si>
    <t>100 п. м</t>
  </si>
  <si>
    <t>Установка уголков ПВХ на клее (Установка нащельника ПВХ (снаружи)</t>
  </si>
  <si>
    <t>10-01-036-1</t>
  </si>
  <si>
    <t>Винты самонарезающие остроконечные длиной 4х20 мм</t>
  </si>
  <si>
    <t>101-4282</t>
  </si>
  <si>
    <t>Дюбель с шурупом 6/35 мм (дюбель-гвоздь 4х40)</t>
  </si>
  <si>
    <t>101-2590</t>
  </si>
  <si>
    <t>Уголок ПВХ, размером 25х25 мм (Стартовый профиль ПВХ)</t>
  </si>
  <si>
    <t>101-5958</t>
  </si>
  <si>
    <t>Установка уголков ПВХ на клее (Установка стартового профиля)</t>
  </si>
  <si>
    <t>1000 м2</t>
  </si>
  <si>
    <t>Пластик бумажно-слоистый 2 с декоративной стороной (Сендвич-панели т.10мм)</t>
  </si>
  <si>
    <t>101-1862</t>
  </si>
  <si>
    <t>100 М2 ОБЛИЦОВКИ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</si>
  <si>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</si>
  <si>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15-01-050-4</t>
  </si>
  <si>
    <t>Заглушки НПВХ, диаметр 32 мм (Заглушки ПВХ для подоконника)</t>
  </si>
  <si>
    <t>300-9911-39</t>
  </si>
  <si>
    <t>Доски подоконные ПВХ, шириной 100 мм</t>
  </si>
  <si>
    <t>101-2963</t>
  </si>
  <si>
    <t>Установка подоконных досок из ПВХ в панельных стенах</t>
  </si>
  <si>
    <t>10-01-035-2</t>
  </si>
  <si>
    <t xml:space="preserve"> Выполняемые работы</t>
  </si>
  <si>
    <t xml:space="preserve">Подраздел: </t>
  </si>
  <si>
    <t xml:space="preserve"> Внутренняя отделка лоджии</t>
  </si>
  <si>
    <t>Квартиры типа "Комфорт" №№104, 130, 166, 89, 152, 27, 70, 117, 150, 53, 43, 11, 24, 28, 35, 37, 49, 57, 58, 68, 77, 100, 109, 123, 127, 128, 131, 144, 146, 147, 160.</t>
  </si>
  <si>
    <t xml:space="preserve"> 5.4.3.2.3 Монтаж витражей и остекление балконов квартир типа "Комфорт"_Раздольн. </t>
  </si>
  <si>
    <t>Инструмент, расходные материалы: Подрядчика</t>
  </si>
  <si>
    <t>Механизмы: Генподрядчика</t>
  </si>
  <si>
    <t>Разгрузка материалов, подъем на этажи: За счет Подрядчика. Входит в стоимость работ и дополнительной компенсации не подлежит</t>
  </si>
  <si>
    <t>Свет, вода- предоставляет Генподрядчик с последующей компенсацией Подрядчиком</t>
  </si>
  <si>
    <t xml:space="preserve">Аванс 10% </t>
  </si>
  <si>
    <t>Работы выполняются в соответствии с требованиями нормативных документов СП, СНиП, ГОСТ и т.д.</t>
  </si>
  <si>
    <t>В процессе работы ведение общего журнала работ, оформление актов освидетельствования скрытых работ</t>
  </si>
  <si>
    <t xml:space="preserve">Наличие необходимых документов для выполнения данного вида работ. </t>
  </si>
  <si>
    <t>свидетельство о допуске к ведению работ (СРО) не обязательно;</t>
  </si>
  <si>
    <r>
      <t xml:space="preserve">карточка учета организации; - </t>
    </r>
    <r>
      <rPr>
        <b/>
        <sz val="11"/>
        <rFont val="Arial Narrow"/>
        <family val="2"/>
        <charset val="204"/>
      </rPr>
      <t>АНКЕТА ОРГАНИЗАЦИИ</t>
    </r>
  </si>
  <si>
    <t>должность</t>
  </si>
  <si>
    <t>Сроки производства работ : с 16.06.2025 до 20.08.2025г.</t>
  </si>
  <si>
    <t>Ответственный: Зубарёва А.В.</t>
  </si>
  <si>
    <t>Основные материалы: Давальческие</t>
  </si>
  <si>
    <t>Монтаж витражей и остекление балконов</t>
  </si>
  <si>
    <t>При наличии лиц не имеющих гражданство России, наличие документов, подтверждающих право работы в России (патент и т.д.)</t>
  </si>
  <si>
    <t>Итого: максимальная цена выполнения работ без НДС, 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</si>
</sst>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5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i/>
      <sz val="9"/>
      <color rgb="FFFFFFFF"/>
      <name val="Arial"/>
      <family val="2"/>
      <charset val="204"/>
    </font>
    <font>
      <sz val="7"/>
      <color rgb="FF0000FF"/>
      <name val="Arial"/>
      <family val="2"/>
      <charset val="204"/>
    </font>
    <font>
      <sz val="9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8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008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8000"/>
      <name val="Arial"/>
      <family val="2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B0F0"/>
      <name val="Arial Narrow"/>
      <family val="2"/>
      <charset val="204"/>
    </font>
    <font>
      <sz val="11"/>
      <name val="Arial Narrow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b/>
      <sz val="12"/>
      <name val="Arial"/>
      <family val="2"/>
      <charset val="204"/>
    </font>
    <font>
      <b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b/>
      <sz val="11"/>
      <color rgb="FF00B0F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rgb="FF00B0F0"/>
      <name val="Arial Narrow"/>
      <family val="2"/>
      <charset val="204"/>
    </font>
    <font>
      <b/>
      <sz val="7"/>
      <color rgb="FF00B0F0"/>
      <name val="Arial Narrow"/>
      <family val="2"/>
      <charset val="204"/>
    </font>
    <font>
      <sz val="8"/>
      <name val="Arial Narrow"/>
      <family val="2"/>
      <charset val="204"/>
    </font>
    <font>
      <b/>
      <u/>
      <sz val="9"/>
      <name val="Arial"/>
      <family val="2"/>
      <charset val="204"/>
    </font>
    <font>
      <sz val="8"/>
      <color rgb="FF008000"/>
      <name val="Arial"/>
      <family val="2"/>
      <charset val="204"/>
    </font>
    <font>
      <sz val="10"/>
      <name val="Arial"/>
      <charset val="204"/>
    </font>
    <font>
      <sz val="7"/>
      <name val="Arial Narrow"/>
      <family val="2"/>
      <charset val="204"/>
    </font>
    <font>
      <b/>
      <sz val="7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6" fillId="0" borderId="0"/>
    <xf numFmtId="0" fontId="11" fillId="0" borderId="0"/>
    <xf numFmtId="43" fontId="62" fillId="0" borderId="0" applyFont="0" applyFill="0" applyBorder="0" applyAlignment="0" applyProtection="0"/>
  </cellStyleXfs>
  <cellXfs count="3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7" fillId="0" borderId="0" xfId="0" applyFont="1"/>
    <xf numFmtId="0" fontId="11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49" fontId="13" fillId="0" borderId="0" xfId="0" applyNumberFormat="1" applyFont="1" applyAlignment="1">
      <alignment wrapText="1"/>
    </xf>
    <xf numFmtId="14" fontId="0" fillId="0" borderId="0" xfId="0" applyNumberFormat="1"/>
    <xf numFmtId="0" fontId="0" fillId="0" borderId="4" xfId="0" applyBorder="1"/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/>
    <xf numFmtId="49" fontId="15" fillId="0" borderId="12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wrapText="1"/>
    </xf>
    <xf numFmtId="0" fontId="19" fillId="0" borderId="0" xfId="0" applyFont="1" applyAlignment="1">
      <alignment horizontal="right" shrinkToFit="1"/>
    </xf>
    <xf numFmtId="4" fontId="13" fillId="0" borderId="0" xfId="0" applyNumberFormat="1" applyFont="1" applyAlignment="1">
      <alignment horizontal="right" shrinkToFit="1"/>
    </xf>
    <xf numFmtId="4" fontId="12" fillId="0" borderId="0" xfId="0" applyNumberFormat="1" applyFont="1" applyAlignment="1">
      <alignment horizontal="right" shrinkToFit="1"/>
    </xf>
    <xf numFmtId="0" fontId="22" fillId="0" borderId="13" xfId="0" applyFont="1" applyBorder="1" applyAlignment="1">
      <alignment horizontal="center" wrapText="1"/>
    </xf>
    <xf numFmtId="0" fontId="0" fillId="0" borderId="19" xfId="0" applyBorder="1"/>
    <xf numFmtId="0" fontId="25" fillId="0" borderId="0" xfId="0" applyFont="1"/>
    <xf numFmtId="0" fontId="26" fillId="0" borderId="0" xfId="0" applyFont="1" applyAlignment="1">
      <alignment wrapText="1"/>
    </xf>
    <xf numFmtId="0" fontId="12" fillId="0" borderId="24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right" wrapText="1"/>
    </xf>
    <xf numFmtId="0" fontId="22" fillId="0" borderId="23" xfId="0" applyFont="1" applyBorder="1" applyAlignment="1">
      <alignment horizontal="right" shrinkToFit="1"/>
    </xf>
    <xf numFmtId="4" fontId="22" fillId="0" borderId="23" xfId="0" applyNumberFormat="1" applyFont="1" applyBorder="1" applyAlignment="1">
      <alignment horizontal="right" shrinkToFit="1"/>
    </xf>
    <xf numFmtId="3" fontId="24" fillId="0" borderId="23" xfId="0" applyNumberFormat="1" applyFont="1" applyBorder="1" applyAlignment="1">
      <alignment horizontal="right" shrinkToFit="1"/>
    </xf>
    <xf numFmtId="0" fontId="28" fillId="0" borderId="23" xfId="0" applyFont="1" applyBorder="1" applyAlignment="1">
      <alignment horizontal="right" shrinkToFit="1"/>
    </xf>
    <xf numFmtId="3" fontId="24" fillId="0" borderId="25" xfId="0" applyNumberFormat="1" applyFont="1" applyBorder="1" applyAlignment="1">
      <alignment horizontal="right" shrinkToFit="1"/>
    </xf>
    <xf numFmtId="49" fontId="12" fillId="0" borderId="23" xfId="0" applyNumberFormat="1" applyFont="1" applyBorder="1" applyAlignment="1">
      <alignment horizontal="left" vertical="top" wrapText="1"/>
    </xf>
    <xf numFmtId="49" fontId="27" fillId="0" borderId="23" xfId="0" applyNumberFormat="1" applyFont="1" applyBorder="1" applyAlignment="1">
      <alignment horizontal="left" vertical="top" wrapText="1" shrinkToFit="1"/>
    </xf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30" fillId="0" borderId="10" xfId="0" applyFont="1" applyBorder="1" applyAlignment="1">
      <alignment horizontal="left" vertical="top" shrinkToFit="1"/>
    </xf>
    <xf numFmtId="0" fontId="0" fillId="0" borderId="28" xfId="0" applyBorder="1"/>
    <xf numFmtId="0" fontId="0" fillId="0" borderId="15" xfId="0" applyBorder="1"/>
    <xf numFmtId="0" fontId="12" fillId="0" borderId="1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right" wrapText="1"/>
    </xf>
    <xf numFmtId="0" fontId="22" fillId="0" borderId="28" xfId="0" applyFont="1" applyBorder="1" applyAlignment="1">
      <alignment horizontal="right" shrinkToFit="1"/>
    </xf>
    <xf numFmtId="4" fontId="22" fillId="0" borderId="28" xfId="0" applyNumberFormat="1" applyFont="1" applyBorder="1" applyAlignment="1">
      <alignment horizontal="right" shrinkToFit="1"/>
    </xf>
    <xf numFmtId="0" fontId="31" fillId="0" borderId="28" xfId="0" applyFont="1" applyBorder="1" applyAlignment="1">
      <alignment horizontal="left" shrinkToFit="1"/>
    </xf>
    <xf numFmtId="3" fontId="22" fillId="0" borderId="28" xfId="0" applyNumberFormat="1" applyFont="1" applyBorder="1" applyAlignment="1">
      <alignment horizontal="right" shrinkToFit="1"/>
    </xf>
    <xf numFmtId="0" fontId="28" fillId="0" borderId="28" xfId="0" applyFont="1" applyBorder="1" applyAlignment="1">
      <alignment horizontal="right" shrinkToFit="1"/>
    </xf>
    <xf numFmtId="3" fontId="22" fillId="0" borderId="29" xfId="0" applyNumberFormat="1" applyFont="1" applyBorder="1" applyAlignment="1">
      <alignment horizontal="right" shrinkToFit="1"/>
    </xf>
    <xf numFmtId="4" fontId="0" fillId="0" borderId="0" xfId="0" applyNumberFormat="1"/>
    <xf numFmtId="0" fontId="32" fillId="0" borderId="15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right" wrapText="1"/>
    </xf>
    <xf numFmtId="0" fontId="33" fillId="0" borderId="28" xfId="0" applyFont="1" applyBorder="1" applyAlignment="1">
      <alignment horizontal="right" shrinkToFit="1"/>
    </xf>
    <xf numFmtId="4" fontId="33" fillId="0" borderId="28" xfId="0" applyNumberFormat="1" applyFont="1" applyBorder="1" applyAlignment="1">
      <alignment horizontal="left" shrinkToFit="1"/>
    </xf>
    <xf numFmtId="0" fontId="33" fillId="0" borderId="28" xfId="0" applyFont="1" applyBorder="1" applyAlignment="1">
      <alignment horizontal="left" shrinkToFit="1"/>
    </xf>
    <xf numFmtId="4" fontId="33" fillId="0" borderId="28" xfId="0" applyNumberFormat="1" applyFont="1" applyBorder="1" applyAlignment="1">
      <alignment horizontal="right" shrinkToFit="1"/>
    </xf>
    <xf numFmtId="3" fontId="33" fillId="0" borderId="28" xfId="0" applyNumberFormat="1" applyFont="1" applyBorder="1" applyAlignment="1">
      <alignment horizontal="right" shrinkToFit="1"/>
    </xf>
    <xf numFmtId="3" fontId="33" fillId="0" borderId="29" xfId="0" applyNumberFormat="1" applyFont="1" applyBorder="1" applyAlignment="1">
      <alignment horizontal="right" shrinkToFit="1"/>
    </xf>
    <xf numFmtId="9" fontId="33" fillId="0" borderId="28" xfId="0" applyNumberFormat="1" applyFont="1" applyBorder="1" applyAlignment="1">
      <alignment horizontal="right" shrinkToFit="1"/>
    </xf>
    <xf numFmtId="0" fontId="18" fillId="0" borderId="28" xfId="0" applyFont="1" applyBorder="1" applyAlignment="1">
      <alignment vertical="top" shrinkToFit="1"/>
    </xf>
    <xf numFmtId="0" fontId="18" fillId="0" borderId="15" xfId="0" applyFont="1" applyBorder="1" applyAlignment="1">
      <alignment vertical="top" shrinkToFit="1"/>
    </xf>
    <xf numFmtId="0" fontId="32" fillId="0" borderId="16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right" wrapText="1"/>
    </xf>
    <xf numFmtId="0" fontId="33" fillId="0" borderId="30" xfId="0" applyFont="1" applyBorder="1" applyAlignment="1">
      <alignment horizontal="right" shrinkToFit="1"/>
    </xf>
    <xf numFmtId="4" fontId="33" fillId="0" borderId="30" xfId="0" applyNumberFormat="1" applyFont="1" applyBorder="1" applyAlignment="1">
      <alignment horizontal="left" shrinkToFit="1"/>
    </xf>
    <xf numFmtId="0" fontId="33" fillId="0" borderId="30" xfId="0" applyFont="1" applyBorder="1" applyAlignment="1">
      <alignment horizontal="left" shrinkToFit="1"/>
    </xf>
    <xf numFmtId="4" fontId="33" fillId="0" borderId="30" xfId="0" applyNumberFormat="1" applyFont="1" applyBorder="1" applyAlignment="1">
      <alignment horizontal="right" shrinkToFit="1"/>
    </xf>
    <xf numFmtId="3" fontId="33" fillId="0" borderId="30" xfId="0" applyNumberFormat="1" applyFont="1" applyBorder="1" applyAlignment="1">
      <alignment horizontal="right" shrinkToFit="1"/>
    </xf>
    <xf numFmtId="9" fontId="33" fillId="0" borderId="30" xfId="0" applyNumberFormat="1" applyFont="1" applyBorder="1" applyAlignment="1">
      <alignment horizontal="right" shrinkToFit="1"/>
    </xf>
    <xf numFmtId="3" fontId="33" fillId="0" borderId="31" xfId="0" applyNumberFormat="1" applyFont="1" applyBorder="1" applyAlignment="1">
      <alignment horizontal="right" shrinkToFit="1"/>
    </xf>
    <xf numFmtId="0" fontId="0" fillId="0" borderId="5" xfId="0" applyBorder="1"/>
    <xf numFmtId="0" fontId="12" fillId="0" borderId="34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right" wrapText="1"/>
    </xf>
    <xf numFmtId="0" fontId="22" fillId="0" borderId="6" xfId="0" applyFont="1" applyBorder="1" applyAlignment="1">
      <alignment horizontal="right" shrinkToFit="1"/>
    </xf>
    <xf numFmtId="4" fontId="22" fillId="0" borderId="6" xfId="0" applyNumberFormat="1" applyFont="1" applyBorder="1" applyAlignment="1">
      <alignment horizontal="right" shrinkToFit="1"/>
    </xf>
    <xf numFmtId="3" fontId="24" fillId="0" borderId="6" xfId="0" applyNumberFormat="1" applyFont="1" applyBorder="1" applyAlignment="1">
      <alignment horizontal="right" shrinkToFit="1"/>
    </xf>
    <xf numFmtId="0" fontId="28" fillId="0" borderId="6" xfId="0" applyFont="1" applyBorder="1" applyAlignment="1">
      <alignment horizontal="right" shrinkToFit="1"/>
    </xf>
    <xf numFmtId="3" fontId="24" fillId="0" borderId="35" xfId="0" applyNumberFormat="1" applyFont="1" applyBorder="1" applyAlignment="1">
      <alignment horizontal="right" shrinkToFit="1"/>
    </xf>
    <xf numFmtId="49" fontId="12" fillId="0" borderId="6" xfId="0" applyNumberFormat="1" applyFont="1" applyBorder="1" applyAlignment="1">
      <alignment horizontal="left" vertical="top" wrapText="1"/>
    </xf>
    <xf numFmtId="49" fontId="27" fillId="0" borderId="6" xfId="0" applyNumberFormat="1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right" wrapText="1"/>
    </xf>
    <xf numFmtId="0" fontId="22" fillId="0" borderId="30" xfId="0" applyFont="1" applyBorder="1" applyAlignment="1">
      <alignment horizontal="right" shrinkToFit="1"/>
    </xf>
    <xf numFmtId="4" fontId="22" fillId="0" borderId="30" xfId="0" applyNumberFormat="1" applyFont="1" applyBorder="1" applyAlignment="1">
      <alignment horizontal="right" shrinkToFit="1"/>
    </xf>
    <xf numFmtId="0" fontId="31" fillId="0" borderId="30" xfId="0" applyFont="1" applyBorder="1" applyAlignment="1">
      <alignment horizontal="left" shrinkToFit="1"/>
    </xf>
    <xf numFmtId="3" fontId="22" fillId="0" borderId="30" xfId="0" applyNumberFormat="1" applyFont="1" applyBorder="1" applyAlignment="1">
      <alignment horizontal="right" shrinkToFit="1"/>
    </xf>
    <xf numFmtId="0" fontId="28" fillId="0" borderId="30" xfId="0" applyFont="1" applyBorder="1" applyAlignment="1">
      <alignment horizontal="right" shrinkToFit="1"/>
    </xf>
    <xf numFmtId="3" fontId="22" fillId="0" borderId="31" xfId="0" applyNumberFormat="1" applyFont="1" applyBorder="1" applyAlignment="1">
      <alignment horizontal="right" shrinkToFit="1"/>
    </xf>
    <xf numFmtId="0" fontId="12" fillId="0" borderId="2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horizontal="right" shrinkToFit="1"/>
    </xf>
    <xf numFmtId="4" fontId="22" fillId="0" borderId="10" xfId="0" applyNumberFormat="1" applyFont="1" applyBorder="1" applyAlignment="1">
      <alignment horizontal="right" shrinkToFit="1"/>
    </xf>
    <xf numFmtId="0" fontId="31" fillId="0" borderId="10" xfId="0" applyFont="1" applyBorder="1" applyAlignment="1">
      <alignment horizontal="left" shrinkToFit="1"/>
    </xf>
    <xf numFmtId="3" fontId="22" fillId="0" borderId="10" xfId="0" applyNumberFormat="1" applyFont="1" applyBorder="1" applyAlignment="1">
      <alignment horizontal="right" shrinkToFit="1"/>
    </xf>
    <xf numFmtId="0" fontId="28" fillId="0" borderId="10" xfId="0" applyFont="1" applyBorder="1" applyAlignment="1">
      <alignment horizontal="right" shrinkToFit="1"/>
    </xf>
    <xf numFmtId="3" fontId="22" fillId="0" borderId="27" xfId="0" applyNumberFormat="1" applyFont="1" applyBorder="1" applyAlignment="1">
      <alignment horizontal="right" shrinkToFit="1"/>
    </xf>
    <xf numFmtId="4" fontId="12" fillId="0" borderId="30" xfId="0" applyNumberFormat="1" applyFont="1" applyBorder="1" applyAlignment="1">
      <alignment horizontal="right" vertical="top" shrinkToFit="1"/>
    </xf>
    <xf numFmtId="0" fontId="0" fillId="0" borderId="19" xfId="0" applyBorder="1" applyAlignment="1">
      <alignment shrinkToFit="1"/>
    </xf>
    <xf numFmtId="0" fontId="18" fillId="0" borderId="19" xfId="0" applyFont="1" applyBorder="1" applyAlignment="1">
      <alignment shrinkToFit="1"/>
    </xf>
    <xf numFmtId="3" fontId="18" fillId="0" borderId="19" xfId="0" applyNumberFormat="1" applyFont="1" applyBorder="1" applyAlignment="1">
      <alignment shrinkToFit="1"/>
    </xf>
    <xf numFmtId="0" fontId="34" fillId="0" borderId="0" xfId="0" applyFont="1"/>
    <xf numFmtId="4" fontId="11" fillId="0" borderId="0" xfId="0" applyNumberFormat="1" applyFont="1" applyAlignment="1">
      <alignment shrinkToFit="1"/>
    </xf>
    <xf numFmtId="3" fontId="11" fillId="0" borderId="0" xfId="0" applyNumberFormat="1" applyFont="1" applyAlignment="1">
      <alignment shrinkToFit="1"/>
    </xf>
    <xf numFmtId="0" fontId="34" fillId="0" borderId="0" xfId="0" applyFont="1" applyAlignment="1">
      <alignment horizontal="left" indent="1"/>
    </xf>
    <xf numFmtId="0" fontId="35" fillId="0" borderId="0" xfId="0" applyFont="1"/>
    <xf numFmtId="0" fontId="35" fillId="0" borderId="0" xfId="0" applyFont="1" applyAlignment="1">
      <alignment horizontal="left" indent="2"/>
    </xf>
    <xf numFmtId="3" fontId="35" fillId="0" borderId="0" xfId="0" applyNumberFormat="1" applyFont="1" applyAlignment="1">
      <alignment shrinkToFit="1"/>
    </xf>
    <xf numFmtId="0" fontId="34" fillId="0" borderId="0" xfId="0" applyFont="1" applyAlignment="1">
      <alignment horizontal="left" indent="3"/>
    </xf>
    <xf numFmtId="0" fontId="35" fillId="0" borderId="0" xfId="0" applyFont="1" applyAlignment="1">
      <alignment horizontal="left" indent="4"/>
    </xf>
    <xf numFmtId="0" fontId="29" fillId="0" borderId="0" xfId="0" applyFont="1"/>
    <xf numFmtId="0" fontId="29" fillId="0" borderId="0" xfId="0" applyFont="1" applyAlignment="1">
      <alignment horizontal="left" indent="2"/>
    </xf>
    <xf numFmtId="3" fontId="29" fillId="0" borderId="0" xfId="0" applyNumberFormat="1" applyFont="1" applyAlignment="1">
      <alignment shrinkToFit="1"/>
    </xf>
    <xf numFmtId="0" fontId="29" fillId="0" borderId="0" xfId="0" applyFont="1" applyAlignment="1">
      <alignment horizontal="left" indent="4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36" fillId="0" borderId="0" xfId="0" applyFont="1"/>
    <xf numFmtId="0" fontId="36" fillId="0" borderId="0" xfId="0" applyFont="1" applyAlignment="1">
      <alignment horizontal="left" indent="6"/>
    </xf>
    <xf numFmtId="3" fontId="36" fillId="0" borderId="0" xfId="0" applyNumberFormat="1" applyFont="1" applyAlignment="1">
      <alignment shrinkToFit="1"/>
    </xf>
    <xf numFmtId="0" fontId="36" fillId="0" borderId="0" xfId="0" applyFont="1" applyAlignment="1">
      <alignment horizontal="left" indent="8"/>
    </xf>
    <xf numFmtId="0" fontId="37" fillId="0" borderId="0" xfId="0" applyFont="1"/>
    <xf numFmtId="0" fontId="37" fillId="0" borderId="0" xfId="0" applyFont="1" applyAlignment="1">
      <alignment horizontal="left" indent="6"/>
    </xf>
    <xf numFmtId="3" fontId="37" fillId="0" borderId="0" xfId="0" applyNumberFormat="1" applyFont="1" applyAlignment="1">
      <alignment shrinkToFit="1"/>
    </xf>
    <xf numFmtId="0" fontId="37" fillId="0" borderId="0" xfId="0" applyFont="1" applyAlignment="1">
      <alignment horizontal="left" indent="8"/>
    </xf>
    <xf numFmtId="0" fontId="38" fillId="0" borderId="0" xfId="0" applyFont="1"/>
    <xf numFmtId="3" fontId="38" fillId="0" borderId="0" xfId="0" applyNumberFormat="1" applyFont="1" applyAlignment="1">
      <alignment shrinkToFit="1"/>
    </xf>
    <xf numFmtId="3" fontId="18" fillId="0" borderId="0" xfId="0" applyNumberFormat="1" applyFont="1" applyAlignment="1">
      <alignment shrinkToFit="1"/>
    </xf>
    <xf numFmtId="0" fontId="37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4" fontId="18" fillId="0" borderId="0" xfId="0" applyNumberFormat="1" applyFont="1" applyAlignment="1">
      <alignment shrinkToFit="1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21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left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0" fillId="0" borderId="7" xfId="0" applyBorder="1"/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right" vertical="top" shrinkToFit="1"/>
    </xf>
    <xf numFmtId="3" fontId="17" fillId="0" borderId="0" xfId="0" applyNumberFormat="1" applyFont="1"/>
    <xf numFmtId="0" fontId="0" fillId="0" borderId="6" xfId="0" applyFill="1" applyBorder="1"/>
    <xf numFmtId="0" fontId="18" fillId="0" borderId="6" xfId="0" applyFont="1" applyFill="1" applyBorder="1" applyAlignment="1">
      <alignment horizontal="left" vertical="top"/>
    </xf>
    <xf numFmtId="3" fontId="18" fillId="0" borderId="6" xfId="0" applyNumberFormat="1" applyFont="1" applyFill="1" applyBorder="1" applyAlignment="1">
      <alignment horizontal="right" vertical="top" shrinkToFit="1"/>
    </xf>
    <xf numFmtId="0" fontId="18" fillId="0" borderId="6" xfId="0" applyFont="1" applyFill="1" applyBorder="1"/>
    <xf numFmtId="0" fontId="22" fillId="0" borderId="6" xfId="0" applyFont="1" applyFill="1" applyBorder="1" applyAlignment="1">
      <alignment horizontal="center" vertical="top" shrinkToFit="1"/>
    </xf>
    <xf numFmtId="0" fontId="22" fillId="0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right" shrinkToFit="1"/>
    </xf>
    <xf numFmtId="4" fontId="22" fillId="0" borderId="6" xfId="0" applyNumberFormat="1" applyFont="1" applyFill="1" applyBorder="1" applyAlignment="1">
      <alignment horizontal="right" shrinkToFit="1"/>
    </xf>
    <xf numFmtId="3" fontId="22" fillId="0" borderId="6" xfId="0" applyNumberFormat="1" applyFont="1" applyFill="1" applyBorder="1" applyAlignment="1">
      <alignment horizontal="right" shrinkToFit="1"/>
    </xf>
    <xf numFmtId="0" fontId="42" fillId="0" borderId="6" xfId="0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indent="1"/>
    </xf>
    <xf numFmtId="0" fontId="44" fillId="0" borderId="0" xfId="0" applyFont="1" applyAlignment="1">
      <alignment wrapText="1"/>
    </xf>
    <xf numFmtId="0" fontId="45" fillId="0" borderId="6" xfId="0" applyFont="1" applyFill="1" applyBorder="1" applyAlignment="1">
      <alignment horizontal="center" vertical="top" shrinkToFit="1"/>
    </xf>
    <xf numFmtId="0" fontId="45" fillId="0" borderId="6" xfId="0" applyFont="1" applyFill="1" applyBorder="1" applyAlignment="1">
      <alignment horizontal="left" vertical="top" wrapText="1"/>
    </xf>
    <xf numFmtId="0" fontId="45" fillId="0" borderId="6" xfId="0" applyFont="1" applyFill="1" applyBorder="1" applyAlignment="1">
      <alignment horizontal="right" shrinkToFit="1"/>
    </xf>
    <xf numFmtId="0" fontId="45" fillId="0" borderId="6" xfId="0" applyFont="1" applyFill="1" applyBorder="1"/>
    <xf numFmtId="0" fontId="47" fillId="0" borderId="0" xfId="1" applyFont="1" applyProtection="1"/>
    <xf numFmtId="0" fontId="47" fillId="0" borderId="0" xfId="1" applyFont="1" applyAlignment="1" applyProtection="1">
      <alignment horizontal="center"/>
    </xf>
    <xf numFmtId="0" fontId="47" fillId="0" borderId="0" xfId="2" applyFont="1" applyProtection="1"/>
    <xf numFmtId="0" fontId="47" fillId="0" borderId="9" xfId="1" applyFont="1" applyBorder="1" applyAlignment="1" applyProtection="1">
      <alignment horizontal="center"/>
    </xf>
    <xf numFmtId="2" fontId="47" fillId="0" borderId="9" xfId="1" applyNumberFormat="1" applyFont="1" applyBorder="1" applyProtection="1"/>
    <xf numFmtId="2" fontId="48" fillId="0" borderId="0" xfId="1" applyNumberFormat="1" applyFont="1" applyAlignment="1" applyProtection="1">
      <alignment horizontal="right"/>
    </xf>
    <xf numFmtId="0" fontId="47" fillId="0" borderId="0" xfId="1" applyFont="1" applyBorder="1" applyAlignment="1" applyProtection="1">
      <alignment horizontal="center"/>
    </xf>
    <xf numFmtId="2" fontId="47" fillId="0" borderId="0" xfId="1" applyNumberFormat="1" applyFont="1" applyBorder="1" applyProtection="1"/>
    <xf numFmtId="0" fontId="47" fillId="0" borderId="0" xfId="2" applyFont="1" applyAlignment="1" applyProtection="1">
      <alignment horizontal="center"/>
    </xf>
    <xf numFmtId="0" fontId="47" fillId="0" borderId="0" xfId="2" applyFont="1" applyBorder="1" applyAlignment="1" applyProtection="1">
      <alignment horizontal="center"/>
    </xf>
    <xf numFmtId="2" fontId="47" fillId="0" borderId="0" xfId="2" applyNumberFormat="1" applyFont="1" applyBorder="1" applyProtection="1"/>
    <xf numFmtId="2" fontId="48" fillId="0" borderId="0" xfId="2" applyNumberFormat="1" applyFont="1" applyBorder="1" applyAlignment="1" applyProtection="1">
      <alignment horizontal="right"/>
    </xf>
    <xf numFmtId="0" fontId="50" fillId="0" borderId="0" xfId="2" applyFont="1" applyProtection="1"/>
    <xf numFmtId="0" fontId="50" fillId="0" borderId="0" xfId="2" applyFont="1" applyAlignment="1" applyProtection="1">
      <alignment horizontal="center"/>
    </xf>
    <xf numFmtId="0" fontId="50" fillId="0" borderId="0" xfId="2" applyFont="1" applyAlignment="1" applyProtection="1"/>
    <xf numFmtId="0" fontId="49" fillId="0" borderId="0" xfId="2" applyFont="1" applyAlignment="1" applyProtection="1"/>
    <xf numFmtId="0" fontId="48" fillId="0" borderId="0" xfId="2" applyFont="1" applyProtection="1"/>
    <xf numFmtId="0" fontId="52" fillId="0" borderId="0" xfId="2" applyFont="1" applyProtection="1"/>
    <xf numFmtId="0" fontId="48" fillId="0" borderId="0" xfId="2" applyFont="1" applyAlignment="1" applyProtection="1">
      <alignment horizontal="center" vertical="center" wrapText="1"/>
    </xf>
    <xf numFmtId="2" fontId="48" fillId="0" borderId="0" xfId="2" applyNumberFormat="1" applyFont="1" applyAlignment="1" applyProtection="1"/>
    <xf numFmtId="2" fontId="48" fillId="0" borderId="0" xfId="2" applyNumberFormat="1" applyFont="1" applyProtection="1"/>
    <xf numFmtId="0" fontId="53" fillId="0" borderId="0" xfId="2" applyFont="1" applyAlignment="1" applyProtection="1">
      <alignment vertical="center" wrapText="1"/>
    </xf>
    <xf numFmtId="0" fontId="54" fillId="0" borderId="0" xfId="2" applyFont="1" applyAlignment="1" applyProtection="1">
      <alignment vertical="center" wrapText="1"/>
    </xf>
    <xf numFmtId="0" fontId="55" fillId="0" borderId="0" xfId="2" applyFont="1" applyProtection="1"/>
    <xf numFmtId="0" fontId="52" fillId="0" borderId="0" xfId="2" applyFont="1" applyBorder="1" applyAlignment="1" applyProtection="1">
      <alignment horizontal="left" vertical="center" wrapText="1"/>
      <protection locked="0"/>
    </xf>
    <xf numFmtId="2" fontId="52" fillId="0" borderId="0" xfId="2" applyNumberFormat="1" applyFont="1" applyBorder="1" applyAlignment="1" applyProtection="1">
      <alignment horizontal="left" vertical="center" wrapText="1"/>
      <protection locked="0"/>
    </xf>
    <xf numFmtId="49" fontId="48" fillId="0" borderId="0" xfId="2" applyNumberFormat="1" applyFont="1" applyAlignment="1" applyProtection="1">
      <alignment horizontal="center" vertical="center"/>
    </xf>
    <xf numFmtId="0" fontId="48" fillId="0" borderId="0" xfId="2" applyFont="1" applyAlignment="1" applyProtection="1">
      <alignment horizontal="center"/>
    </xf>
    <xf numFmtId="0" fontId="57" fillId="0" borderId="0" xfId="2" applyFont="1" applyFill="1" applyAlignment="1" applyProtection="1">
      <alignment vertical="center"/>
    </xf>
    <xf numFmtId="0" fontId="58" fillId="0" borderId="0" xfId="2" applyFont="1" applyAlignment="1" applyProtection="1">
      <alignment vertical="center"/>
    </xf>
    <xf numFmtId="0" fontId="52" fillId="0" borderId="6" xfId="2" applyFont="1" applyBorder="1" applyAlignment="1" applyProtection="1">
      <alignment horizontal="center" wrapText="1"/>
    </xf>
    <xf numFmtId="0" fontId="52" fillId="0" borderId="6" xfId="2" applyNumberFormat="1" applyFont="1" applyBorder="1" applyAlignment="1" applyProtection="1">
      <alignment horizontal="center"/>
    </xf>
    <xf numFmtId="2" fontId="47" fillId="0" borderId="0" xfId="2" applyNumberFormat="1" applyFont="1" applyProtection="1"/>
    <xf numFmtId="0" fontId="51" fillId="0" borderId="0" xfId="2" applyFont="1" applyAlignment="1">
      <alignment vertical="top" wrapText="1"/>
    </xf>
    <xf numFmtId="4" fontId="24" fillId="0" borderId="23" xfId="0" applyNumberFormat="1" applyFont="1" applyBorder="1" applyAlignment="1">
      <alignment horizontal="right" shrinkToFit="1"/>
    </xf>
    <xf numFmtId="4" fontId="24" fillId="0" borderId="6" xfId="0" applyNumberFormat="1" applyFont="1" applyBorder="1" applyAlignment="1">
      <alignment horizontal="right" shrinkToFit="1"/>
    </xf>
    <xf numFmtId="0" fontId="24" fillId="0" borderId="0" xfId="0" applyFont="1" applyAlignment="1">
      <alignment wrapText="1"/>
    </xf>
    <xf numFmtId="4" fontId="17" fillId="0" borderId="0" xfId="0" applyNumberFormat="1" applyFont="1"/>
    <xf numFmtId="3" fontId="42" fillId="0" borderId="27" xfId="0" applyNumberFormat="1" applyFont="1" applyBorder="1" applyAlignment="1">
      <alignment horizontal="right" shrinkToFit="1"/>
    </xf>
    <xf numFmtId="4" fontId="42" fillId="0" borderId="10" xfId="0" applyNumberFormat="1" applyFont="1" applyBorder="1" applyAlignment="1">
      <alignment horizontal="right" shrinkToFit="1"/>
    </xf>
    <xf numFmtId="0" fontId="42" fillId="0" borderId="10" xfId="0" applyFont="1" applyBorder="1" applyAlignment="1">
      <alignment horizontal="right" shrinkToFit="1"/>
    </xf>
    <xf numFmtId="0" fontId="61" fillId="0" borderId="10" xfId="0" applyFont="1" applyBorder="1" applyAlignment="1">
      <alignment horizontal="right" wrapText="1"/>
    </xf>
    <xf numFmtId="0" fontId="42" fillId="0" borderId="10" xfId="0" applyFont="1" applyBorder="1" applyAlignment="1">
      <alignment horizontal="left" vertical="top" wrapText="1"/>
    </xf>
    <xf numFmtId="49" fontId="61" fillId="0" borderId="10" xfId="0" applyNumberFormat="1" applyFont="1" applyBorder="1" applyAlignment="1">
      <alignment horizontal="left" vertical="top" wrapText="1"/>
    </xf>
    <xf numFmtId="0" fontId="61" fillId="0" borderId="26" xfId="0" applyFont="1" applyBorder="1" applyAlignment="1">
      <alignment horizontal="left" vertical="top" wrapText="1"/>
    </xf>
    <xf numFmtId="3" fontId="42" fillId="0" borderId="35" xfId="0" applyNumberFormat="1" applyFont="1" applyBorder="1" applyAlignment="1">
      <alignment horizontal="right" shrinkToFit="1"/>
    </xf>
    <xf numFmtId="4" fontId="42" fillId="0" borderId="6" xfId="0" applyNumberFormat="1" applyFont="1" applyBorder="1" applyAlignment="1">
      <alignment horizontal="right" shrinkToFit="1"/>
    </xf>
    <xf numFmtId="0" fontId="42" fillId="0" borderId="6" xfId="0" applyFont="1" applyBorder="1" applyAlignment="1">
      <alignment horizontal="right" shrinkToFit="1"/>
    </xf>
    <xf numFmtId="0" fontId="61" fillId="0" borderId="6" xfId="0" applyFont="1" applyBorder="1" applyAlignment="1">
      <alignment horizontal="right" wrapText="1"/>
    </xf>
    <xf numFmtId="0" fontId="42" fillId="0" borderId="6" xfId="0" applyFont="1" applyBorder="1" applyAlignment="1">
      <alignment horizontal="left" vertical="top" wrapText="1"/>
    </xf>
    <xf numFmtId="49" fontId="61" fillId="0" borderId="6" xfId="0" applyNumberFormat="1" applyFont="1" applyBorder="1" applyAlignment="1">
      <alignment horizontal="left" vertical="top" wrapText="1"/>
    </xf>
    <xf numFmtId="0" fontId="61" fillId="0" borderId="34" xfId="0" applyFont="1" applyBorder="1" applyAlignment="1">
      <alignment horizontal="left" vertical="top" wrapText="1"/>
    </xf>
    <xf numFmtId="0" fontId="18" fillId="0" borderId="19" xfId="0" applyFont="1" applyBorder="1"/>
    <xf numFmtId="0" fontId="0" fillId="2" borderId="0" xfId="0" applyFill="1"/>
    <xf numFmtId="0" fontId="17" fillId="2" borderId="0" xfId="0" applyFont="1" applyFill="1"/>
    <xf numFmtId="0" fontId="12" fillId="2" borderId="34" xfId="0" applyFont="1" applyFill="1" applyBorder="1" applyAlignment="1">
      <alignment horizontal="left" vertical="top" wrapText="1"/>
    </xf>
    <xf numFmtId="49" fontId="12" fillId="2" borderId="6" xfId="0" applyNumberFormat="1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22" fillId="2" borderId="6" xfId="0" applyFont="1" applyFill="1" applyBorder="1" applyAlignment="1">
      <alignment horizontal="right" shrinkToFit="1"/>
    </xf>
    <xf numFmtId="4" fontId="24" fillId="2" borderId="6" xfId="0" applyNumberFormat="1" applyFont="1" applyFill="1" applyBorder="1" applyAlignment="1">
      <alignment horizontal="right" shrinkToFit="1"/>
    </xf>
    <xf numFmtId="3" fontId="24" fillId="2" borderId="35" xfId="0" applyNumberFormat="1" applyFont="1" applyFill="1" applyBorder="1" applyAlignment="1">
      <alignment horizontal="right" shrinkToFit="1"/>
    </xf>
    <xf numFmtId="0" fontId="48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 vertical="center" wrapText="1"/>
    </xf>
    <xf numFmtId="2" fontId="52" fillId="0" borderId="0" xfId="0" applyNumberFormat="1" applyFont="1" applyFill="1" applyBorder="1" applyAlignment="1" applyProtection="1">
      <alignment vertical="center"/>
    </xf>
    <xf numFmtId="0" fontId="55" fillId="0" borderId="0" xfId="0" applyFont="1" applyProtection="1"/>
    <xf numFmtId="0" fontId="12" fillId="0" borderId="0" xfId="0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22" fillId="0" borderId="0" xfId="0" applyFont="1" applyBorder="1" applyAlignment="1">
      <alignment horizontal="right" shrinkToFit="1"/>
    </xf>
    <xf numFmtId="0" fontId="47" fillId="0" borderId="0" xfId="0" applyFont="1" applyProtection="1"/>
    <xf numFmtId="0" fontId="48" fillId="0" borderId="0" xfId="0" applyFont="1" applyProtection="1"/>
    <xf numFmtId="0" fontId="52" fillId="0" borderId="0" xfId="0" applyFont="1" applyProtection="1"/>
    <xf numFmtId="0" fontId="52" fillId="0" borderId="0" xfId="0" applyFont="1" applyBorder="1" applyAlignment="1" applyProtection="1">
      <alignment horizontal="left"/>
      <protection locked="0"/>
    </xf>
    <xf numFmtId="0" fontId="48" fillId="0" borderId="0" xfId="0" applyFont="1" applyAlignment="1" applyProtection="1">
      <alignment horizontal="center"/>
      <protection locked="0"/>
    </xf>
    <xf numFmtId="0" fontId="55" fillId="0" borderId="0" xfId="0" applyFont="1" applyAlignment="1" applyProtection="1">
      <alignment vertical="center"/>
    </xf>
    <xf numFmtId="2" fontId="48" fillId="0" borderId="0" xfId="0" applyNumberFormat="1" applyFont="1" applyProtection="1">
      <protection locked="0"/>
    </xf>
    <xf numFmtId="0" fontId="48" fillId="0" borderId="0" xfId="0" applyFont="1" applyAlignment="1" applyProtection="1">
      <alignment horizontal="right"/>
    </xf>
    <xf numFmtId="0" fontId="48" fillId="0" borderId="0" xfId="0" applyFont="1" applyBorder="1" applyAlignment="1" applyProtection="1">
      <alignment horizontal="left"/>
      <protection locked="0"/>
    </xf>
    <xf numFmtId="0" fontId="48" fillId="0" borderId="0" xfId="0" applyFont="1" applyAlignment="1" applyProtection="1">
      <alignment horizontal="right" vertical="top"/>
    </xf>
    <xf numFmtId="0" fontId="48" fillId="0" borderId="0" xfId="0" applyNumberFormat="1" applyFont="1" applyFill="1" applyBorder="1" applyAlignment="1" applyProtection="1">
      <alignment horizontal="justify" vertical="top"/>
    </xf>
    <xf numFmtId="2" fontId="48" fillId="0" borderId="0" xfId="0" applyNumberFormat="1" applyFont="1" applyFill="1" applyBorder="1" applyAlignment="1" applyProtection="1">
      <alignment vertical="top"/>
    </xf>
    <xf numFmtId="2" fontId="48" fillId="0" borderId="0" xfId="0" applyNumberFormat="1" applyFont="1" applyAlignment="1" applyProtection="1">
      <alignment vertical="top"/>
    </xf>
    <xf numFmtId="0" fontId="48" fillId="0" borderId="0" xfId="0" applyNumberFormat="1" applyFont="1" applyFill="1" applyBorder="1" applyAlignment="1" applyProtection="1">
      <alignment vertical="top"/>
    </xf>
    <xf numFmtId="0" fontId="48" fillId="0" borderId="0" xfId="0" applyNumberFormat="1" applyFont="1" applyFill="1" applyBorder="1" applyAlignment="1" applyProtection="1">
      <alignment horizontal="left" vertical="top"/>
    </xf>
    <xf numFmtId="2" fontId="48" fillId="0" borderId="0" xfId="0" applyNumberFormat="1" applyFont="1" applyFill="1" applyBorder="1" applyAlignment="1" applyProtection="1">
      <alignment horizontal="left" vertical="top"/>
    </xf>
    <xf numFmtId="2" fontId="48" fillId="0" borderId="0" xfId="0" applyNumberFormat="1" applyFont="1" applyAlignment="1" applyProtection="1">
      <alignment horizontal="left" vertical="top"/>
    </xf>
    <xf numFmtId="0" fontId="48" fillId="0" borderId="0" xfId="0" applyFont="1" applyAlignment="1" applyProtection="1">
      <alignment vertical="top"/>
    </xf>
    <xf numFmtId="49" fontId="48" fillId="0" borderId="0" xfId="0" applyNumberFormat="1" applyFont="1" applyAlignment="1" applyProtection="1">
      <alignment horizontal="right" vertical="top"/>
    </xf>
    <xf numFmtId="0" fontId="47" fillId="0" borderId="0" xfId="0" applyFont="1" applyAlignment="1" applyProtection="1">
      <alignment vertical="top"/>
    </xf>
    <xf numFmtId="49" fontId="59" fillId="0" borderId="0" xfId="0" applyNumberFormat="1" applyFont="1" applyAlignment="1" applyProtection="1">
      <alignment horizontal="right" vertical="top"/>
    </xf>
    <xf numFmtId="0" fontId="48" fillId="0" borderId="9" xfId="0" applyFont="1" applyBorder="1" applyAlignment="1" applyProtection="1">
      <alignment horizontal="left" vertical="center" wrapText="1"/>
      <protection locked="0"/>
    </xf>
    <xf numFmtId="0" fontId="48" fillId="0" borderId="0" xfId="0" applyFont="1" applyBorder="1" applyAlignment="1" applyProtection="1">
      <alignment horizontal="center" vertical="center" wrapText="1"/>
      <protection locked="0"/>
    </xf>
    <xf numFmtId="0" fontId="63" fillId="0" borderId="0" xfId="0" applyFont="1" applyAlignment="1" applyProtection="1">
      <alignment vertical="top"/>
    </xf>
    <xf numFmtId="0" fontId="64" fillId="0" borderId="0" xfId="0" applyFont="1" applyAlignment="1" applyProtection="1">
      <alignment vertical="top"/>
    </xf>
    <xf numFmtId="0" fontId="64" fillId="0" borderId="0" xfId="0" applyFont="1" applyBorder="1" applyAlignment="1" applyProtection="1">
      <alignment horizontal="center" vertical="top" wrapText="1"/>
      <protection locked="0"/>
    </xf>
    <xf numFmtId="0" fontId="47" fillId="0" borderId="0" xfId="0" applyFont="1" applyAlignment="1" applyProtection="1">
      <alignment horizontal="center"/>
    </xf>
    <xf numFmtId="43" fontId="55" fillId="0" borderId="0" xfId="3" applyFont="1" applyProtection="1"/>
    <xf numFmtId="43" fontId="52" fillId="0" borderId="0" xfId="3" applyFont="1" applyFill="1" applyBorder="1" applyAlignment="1" applyProtection="1">
      <alignment vertical="center"/>
    </xf>
    <xf numFmtId="0" fontId="48" fillId="0" borderId="0" xfId="0" applyNumberFormat="1" applyFont="1" applyFill="1" applyBorder="1" applyAlignment="1" applyProtection="1">
      <alignment horizontal="justify" vertical="top"/>
    </xf>
    <xf numFmtId="0" fontId="48" fillId="0" borderId="0" xfId="0" applyNumberFormat="1" applyFont="1" applyFill="1" applyBorder="1" applyAlignment="1" applyProtection="1">
      <alignment vertical="top"/>
    </xf>
    <xf numFmtId="49" fontId="1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/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left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4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3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41" fillId="0" borderId="3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5" fillId="0" borderId="0" xfId="0" applyFont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top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4" fillId="0" borderId="9" xfId="0" applyNumberFormat="1" applyFont="1" applyBorder="1" applyAlignment="1">
      <alignment horizontal="right" shrinkToFit="1"/>
    </xf>
    <xf numFmtId="0" fontId="14" fillId="0" borderId="1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49" fontId="22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3" fontId="18" fillId="0" borderId="21" xfId="0" applyNumberFormat="1" applyFont="1" applyBorder="1" applyAlignment="1">
      <alignment vertical="top" shrinkToFit="1"/>
    </xf>
    <xf numFmtId="3" fontId="18" fillId="0" borderId="20" xfId="0" applyNumberFormat="1" applyFont="1" applyBorder="1" applyAlignment="1">
      <alignment vertical="top" shrinkToFit="1"/>
    </xf>
    <xf numFmtId="3" fontId="18" fillId="0" borderId="22" xfId="0" applyNumberFormat="1" applyFont="1" applyBorder="1" applyAlignment="1">
      <alignment vertical="top" shrinkToFi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0" fillId="0" borderId="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39" fillId="0" borderId="3" xfId="0" applyFont="1" applyBorder="1" applyAlignment="1">
      <alignment horizontal="center"/>
    </xf>
    <xf numFmtId="0" fontId="51" fillId="0" borderId="0" xfId="2" applyFont="1" applyAlignment="1">
      <alignment horizontal="center" vertical="top" wrapText="1"/>
    </xf>
    <xf numFmtId="0" fontId="52" fillId="0" borderId="0" xfId="2" applyFont="1" applyBorder="1" applyAlignment="1" applyProtection="1">
      <alignment horizontal="left" vertical="center" wrapText="1"/>
      <protection locked="0"/>
    </xf>
    <xf numFmtId="2" fontId="56" fillId="0" borderId="10" xfId="2" applyNumberFormat="1" applyFont="1" applyBorder="1" applyAlignment="1" applyProtection="1">
      <alignment horizontal="center" vertical="center" wrapText="1"/>
    </xf>
    <xf numFmtId="2" fontId="56" fillId="0" borderId="36" xfId="2" applyNumberFormat="1" applyFont="1" applyBorder="1" applyAlignment="1" applyProtection="1">
      <alignment horizontal="center" vertical="center" wrapText="1"/>
    </xf>
    <xf numFmtId="0" fontId="48" fillId="0" borderId="0" xfId="1" applyFont="1" applyAlignment="1" applyProtection="1">
      <alignment horizontal="center"/>
    </xf>
    <xf numFmtId="2" fontId="48" fillId="0" borderId="0" xfId="1" applyNumberFormat="1" applyFont="1" applyAlignment="1" applyProtection="1">
      <alignment horizontal="right"/>
    </xf>
    <xf numFmtId="0" fontId="49" fillId="0" borderId="0" xfId="2" applyFont="1" applyAlignment="1" applyProtection="1">
      <alignment horizontal="center"/>
    </xf>
    <xf numFmtId="2" fontId="49" fillId="0" borderId="0" xfId="2" applyNumberFormat="1" applyFont="1" applyBorder="1" applyAlignment="1" applyProtection="1">
      <alignment horizontal="center"/>
    </xf>
    <xf numFmtId="0" fontId="49" fillId="0" borderId="0" xfId="2" applyFont="1" applyAlignment="1" applyProtection="1">
      <alignment horizontal="center" wrapText="1"/>
    </xf>
    <xf numFmtId="0" fontId="60" fillId="0" borderId="0" xfId="0" applyFont="1" applyAlignment="1">
      <alignment horizontal="right" vertical="top" wrapText="1"/>
    </xf>
    <xf numFmtId="0" fontId="60" fillId="0" borderId="0" xfId="0" applyFont="1" applyAlignment="1">
      <alignment horizontal="left" vertical="top" wrapText="1"/>
    </xf>
    <xf numFmtId="0" fontId="56" fillId="0" borderId="6" xfId="2" applyFont="1" applyBorder="1" applyAlignment="1" applyProtection="1">
      <alignment horizontal="center" vertical="center" wrapText="1"/>
    </xf>
    <xf numFmtId="0" fontId="56" fillId="0" borderId="10" xfId="2" applyFont="1" applyBorder="1" applyAlignment="1" applyProtection="1">
      <alignment horizontal="center" vertical="center" wrapText="1"/>
    </xf>
    <xf numFmtId="0" fontId="56" fillId="0" borderId="36" xfId="2" applyFont="1" applyBorder="1" applyAlignment="1" applyProtection="1">
      <alignment horizontal="center" vertical="center" wrapText="1"/>
    </xf>
    <xf numFmtId="0" fontId="48" fillId="0" borderId="0" xfId="0" applyNumberFormat="1" applyFont="1" applyFill="1" applyBorder="1" applyAlignment="1" applyProtection="1">
      <alignment horizontal="justify" vertical="top"/>
    </xf>
    <xf numFmtId="0" fontId="48" fillId="0" borderId="0" xfId="0" applyNumberFormat="1" applyFont="1" applyFill="1" applyBorder="1" applyAlignment="1" applyProtection="1">
      <alignment horizontal="left" vertical="top"/>
    </xf>
    <xf numFmtId="0" fontId="48" fillId="0" borderId="0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1"/>
    <cellStyle name="Обычный 2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,85%20,%200,85/&#1052;&#1086;&#1105;/5.4.3.2.3%20&#1052;&#1086;&#1085;&#1090;&#1072;&#1078;%20&#1074;&#1080;&#1090;&#1088;&#1072;&#1078;&#1077;&#1081;%20&#1080;%20&#1086;&#1089;&#1090;&#1077;&#1082;&#1083;&#1077;&#1085;&#1080;&#1077;%20&#1073;&#1072;&#1083;&#1082;&#1086;&#1085;&#1086;&#1074;%20&#1082;&#1074;&#1072;&#1088;&#1090;&#1080;&#1088;%20&#1090;&#1080;&#1087;&#1072;%20_&#1050;&#1086;&#1084;&#1092;&#1086;&#1088;&#1090;__&#1056;&#1072;&#1079;&#1076;&#1086;&#1083;&#1100;&#108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Лок.смета.и.Акт"/>
      <sheetName val="SourceOb.2"/>
      <sheetName val="SourceOb.1"/>
      <sheetName val="Source"/>
      <sheetName val="SourceObSm"/>
      <sheetName val="SmtRes"/>
      <sheetName val="EtalonRes"/>
      <sheetName val="SrcKA"/>
    </sheetNames>
    <sheetDataSet>
      <sheetData sheetId="0" refreshError="1"/>
      <sheetData sheetId="1" refreshError="1"/>
      <sheetData sheetId="2" refreshError="1"/>
      <sheetData sheetId="3">
        <row r="37">
          <cell r="P37" t="e">
            <v>#REF!</v>
          </cell>
        </row>
        <row r="39">
          <cell r="P39" t="e">
            <v>#REF!</v>
          </cell>
        </row>
        <row r="41">
          <cell r="P41" t="e">
            <v>#REF!</v>
          </cell>
        </row>
        <row r="43">
          <cell r="P43" t="e">
            <v>#REF!</v>
          </cell>
        </row>
        <row r="47">
          <cell r="P47" t="e">
            <v>#REF!</v>
          </cell>
        </row>
        <row r="49">
          <cell r="P49" t="e">
            <v>#REF!</v>
          </cell>
        </row>
        <row r="51">
          <cell r="P51" t="e">
            <v>#REF!</v>
          </cell>
        </row>
        <row r="55">
          <cell r="P55" t="e">
            <v>#REF!</v>
          </cell>
        </row>
        <row r="57">
          <cell r="P57" t="e">
            <v>#REF!</v>
          </cell>
        </row>
        <row r="59">
          <cell r="P59" t="e">
            <v>#REF!</v>
          </cell>
        </row>
        <row r="63">
          <cell r="P63" t="e">
            <v>#REF!</v>
          </cell>
        </row>
        <row r="67">
          <cell r="P67" t="e">
            <v>#REF!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5"/>
  <sheetViews>
    <sheetView workbookViewId="0">
      <selection activeCell="F40" sqref="F40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108.7109375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256" width="0" hidden="1" customWidth="1"/>
  </cols>
  <sheetData>
    <row r="1" spans="1:255" s="15" customFormat="1" ht="11.25" x14ac:dyDescent="0.2">
      <c r="A1" s="303" t="s">
        <v>211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3" spans="1:255" x14ac:dyDescent="0.2">
      <c r="A3" s="20" t="s">
        <v>218</v>
      </c>
      <c r="B3" s="19"/>
      <c r="C3" s="304"/>
      <c r="D3" s="305"/>
      <c r="E3" s="305"/>
      <c r="F3" s="305"/>
      <c r="G3" s="305"/>
      <c r="H3" s="305"/>
      <c r="I3" s="305"/>
      <c r="J3" s="305"/>
      <c r="K3" s="305"/>
      <c r="BR3" s="22">
        <f>C3</f>
        <v>0</v>
      </c>
      <c r="IU3" s="23"/>
    </row>
    <row r="4" spans="1:255" x14ac:dyDescent="0.2">
      <c r="A4" s="20" t="s">
        <v>220</v>
      </c>
      <c r="B4" s="19"/>
      <c r="C4" s="306"/>
      <c r="D4" s="307"/>
      <c r="E4" s="307"/>
      <c r="F4" s="307"/>
      <c r="G4" s="307"/>
      <c r="H4" s="307"/>
      <c r="I4" s="307"/>
      <c r="J4" s="307"/>
      <c r="K4" s="307"/>
      <c r="BR4" s="22">
        <f>C4</f>
        <v>0</v>
      </c>
      <c r="IU4" s="23"/>
    </row>
    <row r="5" spans="1:255" x14ac:dyDescent="0.2">
      <c r="A5" s="20" t="s">
        <v>221</v>
      </c>
      <c r="B5" s="19"/>
      <c r="C5" s="306"/>
      <c r="D5" s="307"/>
      <c r="E5" s="307"/>
      <c r="F5" s="307"/>
      <c r="G5" s="307"/>
      <c r="H5" s="307"/>
      <c r="I5" s="307"/>
      <c r="J5" s="307"/>
      <c r="K5" s="307"/>
      <c r="BR5" s="22">
        <f>C5</f>
        <v>0</v>
      </c>
      <c r="IU5" s="23"/>
    </row>
    <row r="6" spans="1:255" x14ac:dyDescent="0.2">
      <c r="A6" s="20" t="s">
        <v>222</v>
      </c>
      <c r="B6" s="19"/>
      <c r="C6" s="308"/>
      <c r="D6" s="309"/>
      <c r="E6" s="309"/>
      <c r="F6" s="309"/>
      <c r="G6" s="309"/>
      <c r="H6" s="309"/>
      <c r="I6" s="309"/>
      <c r="J6" s="309"/>
      <c r="K6" s="309"/>
      <c r="BR6" s="22">
        <f>C6</f>
        <v>0</v>
      </c>
      <c r="IU6" s="23"/>
    </row>
    <row r="7" spans="1:255" x14ac:dyDescent="0.2">
      <c r="A7" s="310"/>
      <c r="B7" s="310"/>
      <c r="C7" s="310"/>
      <c r="D7" s="310"/>
      <c r="E7" s="310"/>
      <c r="F7" s="310"/>
      <c r="G7" s="310"/>
      <c r="H7" s="310"/>
      <c r="I7" s="310"/>
      <c r="J7" s="310"/>
      <c r="K7" s="310"/>
    </row>
    <row r="8" spans="1:255" ht="18.75" x14ac:dyDescent="0.3">
      <c r="A8" s="311" t="s">
        <v>385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</row>
    <row r="9" spans="1:255" x14ac:dyDescent="0.2">
      <c r="A9" s="312" t="s">
        <v>386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spans="1:255" x14ac:dyDescent="0.2">
      <c r="A10" s="312"/>
      <c r="B10" s="312"/>
      <c r="C10" s="312"/>
      <c r="D10" s="312"/>
      <c r="E10" s="312"/>
      <c r="F10" s="312"/>
      <c r="G10" s="312"/>
      <c r="H10" s="312"/>
      <c r="I10" s="312"/>
      <c r="J10" s="312"/>
      <c r="K10" s="312"/>
    </row>
    <row r="11" spans="1:255" ht="31.5" x14ac:dyDescent="0.25">
      <c r="A11" s="14" t="s">
        <v>349</v>
      </c>
      <c r="B11" s="313" t="s">
        <v>4</v>
      </c>
      <c r="C11" s="313"/>
      <c r="D11" s="313"/>
      <c r="E11" s="313"/>
      <c r="F11" s="313"/>
      <c r="G11" s="313"/>
      <c r="H11" s="313"/>
      <c r="I11" s="313"/>
      <c r="J11" s="313"/>
      <c r="K11" s="313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1.5" x14ac:dyDescent="0.25">
      <c r="A12" s="14" t="s">
        <v>224</v>
      </c>
      <c r="B12" s="314" t="s">
        <v>4</v>
      </c>
      <c r="C12" s="314"/>
      <c r="D12" s="314"/>
      <c r="E12" s="314"/>
      <c r="F12" s="314"/>
      <c r="G12" s="314"/>
      <c r="H12" s="314"/>
      <c r="I12" s="314"/>
      <c r="J12" s="314"/>
      <c r="K12" s="314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01" t="s">
        <v>244</v>
      </c>
      <c r="C13" s="302"/>
      <c r="D13" s="302"/>
      <c r="E13" s="302"/>
      <c r="F13" s="302"/>
      <c r="G13" s="302"/>
      <c r="H13" s="302"/>
      <c r="I13" s="302"/>
      <c r="J13" s="302"/>
      <c r="K13" s="302"/>
      <c r="BT13" s="22">
        <f>C13</f>
        <v>0</v>
      </c>
      <c r="IU13" s="23"/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388</v>
      </c>
      <c r="F15" s="315" t="s">
        <v>390</v>
      </c>
      <c r="G15" s="316"/>
      <c r="H15" s="316"/>
      <c r="I15" s="168" t="s">
        <v>395</v>
      </c>
      <c r="J15" s="168"/>
      <c r="K15" s="169" t="s">
        <v>398</v>
      </c>
    </row>
    <row r="16" spans="1:255" x14ac:dyDescent="0.2">
      <c r="A16" s="170" t="s">
        <v>351</v>
      </c>
      <c r="B16" s="170" t="s">
        <v>353</v>
      </c>
      <c r="C16" s="170" t="s">
        <v>387</v>
      </c>
      <c r="D16" s="170" t="s">
        <v>358</v>
      </c>
      <c r="E16" s="170" t="s">
        <v>389</v>
      </c>
      <c r="F16" s="168" t="s">
        <v>391</v>
      </c>
      <c r="G16" s="168" t="s">
        <v>393</v>
      </c>
      <c r="H16" s="168" t="s">
        <v>394</v>
      </c>
      <c r="I16" s="170" t="s">
        <v>396</v>
      </c>
      <c r="J16" s="170" t="s">
        <v>397</v>
      </c>
      <c r="K16" s="171" t="s">
        <v>399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 t="s">
        <v>392</v>
      </c>
      <c r="G17" s="170"/>
      <c r="H17" s="170"/>
      <c r="I17" s="170"/>
      <c r="J17" s="170"/>
      <c r="K17" s="171" t="s">
        <v>400</v>
      </c>
    </row>
    <row r="18" spans="1:255" x14ac:dyDescent="0.2">
      <c r="A18" s="168">
        <v>1</v>
      </c>
      <c r="B18" s="168">
        <v>2</v>
      </c>
      <c r="C18" s="168">
        <v>3</v>
      </c>
      <c r="D18" s="168">
        <v>4</v>
      </c>
      <c r="E18" s="168">
        <v>5</v>
      </c>
      <c r="F18" s="168">
        <v>6</v>
      </c>
      <c r="G18" s="168">
        <v>7</v>
      </c>
      <c r="H18" s="168">
        <v>8</v>
      </c>
      <c r="I18" s="168">
        <v>9</v>
      </c>
      <c r="J18" s="168">
        <v>10</v>
      </c>
      <c r="K18" s="169">
        <v>11</v>
      </c>
    </row>
    <row r="19" spans="1:255" ht="15" x14ac:dyDescent="0.25">
      <c r="A19" s="317" t="s">
        <v>401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9"/>
      <c r="BU19" s="193" t="str">
        <f>A19</f>
        <v>Смета: Устройство котлована</v>
      </c>
      <c r="IU19" s="23"/>
    </row>
    <row r="20" spans="1:255" ht="15" x14ac:dyDescent="0.25">
      <c r="A20" s="320" t="s">
        <v>16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BU20" s="193" t="str">
        <f>A20</f>
        <v>Удаление насыпного грунта и срезка растительного грунта смотри ЛСР № 4.1.3.1; №4.1.3.2</v>
      </c>
      <c r="IU20" s="23"/>
    </row>
    <row r="21" spans="1:255" ht="60" x14ac:dyDescent="0.2">
      <c r="A21" s="194" t="s">
        <v>17</v>
      </c>
      <c r="B21" s="195" t="s">
        <v>18</v>
      </c>
      <c r="C21" s="195" t="s">
        <v>19</v>
      </c>
      <c r="D21" s="195" t="s">
        <v>20</v>
      </c>
      <c r="E21" s="196">
        <f>Source!I25</f>
        <v>3.2006999999999999</v>
      </c>
      <c r="F21" s="196"/>
      <c r="G21" s="196"/>
      <c r="H21" s="196"/>
      <c r="I21" s="196"/>
      <c r="J21" s="197"/>
      <c r="K21" s="197"/>
    </row>
    <row r="22" spans="1:255" ht="48" x14ac:dyDescent="0.2">
      <c r="A22" s="194" t="s">
        <v>25</v>
      </c>
      <c r="B22" s="195" t="s">
        <v>26</v>
      </c>
      <c r="C22" s="195" t="s">
        <v>27</v>
      </c>
      <c r="D22" s="195" t="s">
        <v>28</v>
      </c>
      <c r="E22" s="196">
        <f>Source!I27</f>
        <v>5505.2039999999997</v>
      </c>
      <c r="F22" s="196"/>
      <c r="G22" s="196"/>
      <c r="H22" s="196"/>
      <c r="I22" s="196"/>
      <c r="J22" s="197"/>
      <c r="K22" s="197"/>
    </row>
    <row r="23" spans="1:255" ht="24" x14ac:dyDescent="0.2">
      <c r="A23" s="194" t="s">
        <v>33</v>
      </c>
      <c r="B23" s="195" t="s">
        <v>34</v>
      </c>
      <c r="C23" s="195" t="s">
        <v>35</v>
      </c>
      <c r="D23" s="195" t="s">
        <v>20</v>
      </c>
      <c r="E23" s="196">
        <f>Source!I29</f>
        <v>3.2006999999999999</v>
      </c>
      <c r="F23" s="196"/>
      <c r="G23" s="196"/>
      <c r="H23" s="196"/>
      <c r="I23" s="196"/>
      <c r="J23" s="197"/>
      <c r="K23" s="197"/>
    </row>
    <row r="24" spans="1:255" ht="36" x14ac:dyDescent="0.2">
      <c r="A24" s="194" t="s">
        <v>37</v>
      </c>
      <c r="B24" s="195" t="s">
        <v>38</v>
      </c>
      <c r="C24" s="195" t="s">
        <v>39</v>
      </c>
      <c r="D24" s="195" t="s">
        <v>40</v>
      </c>
      <c r="E24" s="196">
        <f>Source!I31</f>
        <v>1.4420999999999999</v>
      </c>
      <c r="F24" s="196"/>
      <c r="G24" s="196"/>
      <c r="H24" s="196"/>
      <c r="I24" s="196"/>
      <c r="J24" s="197"/>
      <c r="K24" s="197"/>
    </row>
    <row r="27" spans="1:255" ht="22.5" x14ac:dyDescent="0.2">
      <c r="A27" s="162" t="s">
        <v>334</v>
      </c>
      <c r="B27" s="162"/>
      <c r="C27" s="174" t="s">
        <v>403</v>
      </c>
      <c r="D27" s="163"/>
      <c r="E27" s="163"/>
      <c r="F27" s="322" t="s">
        <v>7</v>
      </c>
      <c r="G27" s="322"/>
      <c r="BY27" s="164" t="str">
        <f>C27</f>
        <v xml:space="preserve"> Главный инженер сметчик сметно-расчетной службы ООО "ОДСК"</v>
      </c>
      <c r="BZ27" s="164" t="str">
        <f>F27</f>
        <v>Кузнецова У. И.</v>
      </c>
      <c r="IU27" s="23"/>
    </row>
    <row r="28" spans="1:255" s="176" customFormat="1" ht="11.25" x14ac:dyDescent="0.2">
      <c r="A28" s="175"/>
      <c r="B28" s="175"/>
      <c r="C28" s="323" t="s">
        <v>330</v>
      </c>
      <c r="D28" s="323"/>
      <c r="E28" s="323"/>
      <c r="F28" s="323" t="s">
        <v>331</v>
      </c>
      <c r="G28" s="323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ht="22.5" x14ac:dyDescent="0.2">
      <c r="A30" s="162" t="s">
        <v>335</v>
      </c>
      <c r="B30" s="162"/>
      <c r="C30" s="174" t="s">
        <v>343</v>
      </c>
      <c r="D30" s="163"/>
      <c r="E30" s="163"/>
      <c r="F30" s="322" t="s">
        <v>337</v>
      </c>
      <c r="G30" s="322"/>
      <c r="BY30" s="164" t="str">
        <f>C30</f>
        <v>Руководитель сметно-расчетной службы ООО "ОДСК"</v>
      </c>
      <c r="BZ30" s="164" t="str">
        <f>F30</f>
        <v>Артамонова Ю.А.</v>
      </c>
      <c r="IU30" s="23"/>
    </row>
    <row r="31" spans="1:255" s="176" customFormat="1" ht="11.25" x14ac:dyDescent="0.2">
      <c r="A31" s="175"/>
      <c r="B31" s="175"/>
      <c r="C31" s="323" t="s">
        <v>330</v>
      </c>
      <c r="D31" s="323"/>
      <c r="E31" s="323"/>
      <c r="F31" s="323" t="s">
        <v>331</v>
      </c>
      <c r="G31" s="323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  <row r="33" spans="1:255" x14ac:dyDescent="0.2">
      <c r="A33" s="162" t="s">
        <v>221</v>
      </c>
      <c r="B33" s="162"/>
      <c r="C33" s="174" t="s">
        <v>344</v>
      </c>
      <c r="D33" s="163"/>
      <c r="E33" s="163"/>
      <c r="F33" s="322" t="s">
        <v>345</v>
      </c>
      <c r="G33" s="322"/>
      <c r="BY33" s="164" t="str">
        <f>C33</f>
        <v>Руководитель ПТО ООО "ОСУ-2"</v>
      </c>
      <c r="BZ33" s="164" t="str">
        <f>F33</f>
        <v>Когтев В. И.</v>
      </c>
      <c r="IU33" s="23"/>
    </row>
    <row r="34" spans="1:255" s="176" customFormat="1" ht="11.25" x14ac:dyDescent="0.2">
      <c r="A34" s="175"/>
      <c r="B34" s="175"/>
      <c r="C34" s="323" t="s">
        <v>330</v>
      </c>
      <c r="D34" s="323"/>
      <c r="E34" s="323"/>
      <c r="F34" s="323" t="s">
        <v>331</v>
      </c>
      <c r="G34" s="323"/>
    </row>
    <row r="35" spans="1:255" x14ac:dyDescent="0.2">
      <c r="A35" s="18"/>
      <c r="B35" s="18"/>
      <c r="C35" s="18"/>
      <c r="D35" s="11" t="s">
        <v>332</v>
      </c>
      <c r="E35" s="18"/>
      <c r="F35" s="18"/>
      <c r="G35" s="18"/>
    </row>
  </sheetData>
  <mergeCells count="24">
    <mergeCell ref="F30:G30"/>
    <mergeCell ref="C31:E31"/>
    <mergeCell ref="F31:G31"/>
    <mergeCell ref="F33:G33"/>
    <mergeCell ref="C34:E34"/>
    <mergeCell ref="F34:G34"/>
    <mergeCell ref="F15:H15"/>
    <mergeCell ref="A19:K19"/>
    <mergeCell ref="A20:K20"/>
    <mergeCell ref="F27:G27"/>
    <mergeCell ref="C28:E28"/>
    <mergeCell ref="F28:G28"/>
    <mergeCell ref="B13:K13"/>
    <mergeCell ref="A1:K1"/>
    <mergeCell ref="C3:K3"/>
    <mergeCell ref="C4:K4"/>
    <mergeCell ref="C5:K5"/>
    <mergeCell ref="C6:K6"/>
    <mergeCell ref="A7:K7"/>
    <mergeCell ref="A8:K8"/>
    <mergeCell ref="A9:K9"/>
    <mergeCell ref="A10:K10"/>
    <mergeCell ref="B11:K11"/>
    <mergeCell ref="B12:K12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4"/>
  <sheetViews>
    <sheetView workbookViewId="0">
      <selection activeCell="A130" sqref="A130:AN130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  <c r="IF1">
        <v>-1</v>
      </c>
    </row>
    <row r="2" spans="1:246" x14ac:dyDescent="0.2">
      <c r="IF2">
        <v>-1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6</v>
      </c>
      <c r="IL5" t="s">
        <v>210</v>
      </c>
    </row>
    <row r="6" spans="1:246" x14ac:dyDescent="0.2">
      <c r="IF6">
        <v>-1</v>
      </c>
      <c r="IK6">
        <v>50</v>
      </c>
      <c r="IL6" t="s">
        <v>197</v>
      </c>
    </row>
    <row r="7" spans="1:246" x14ac:dyDescent="0.2">
      <c r="IF7">
        <v>-1</v>
      </c>
      <c r="IK7">
        <v>1</v>
      </c>
      <c r="IL7" t="s">
        <v>346</v>
      </c>
    </row>
    <row r="8" spans="1:246" x14ac:dyDescent="0.2">
      <c r="IF8">
        <v>-1</v>
      </c>
      <c r="IK8">
        <f>IF((Source!AR34&lt;&gt;'2.Лок.смета.и.Акт в ЕР'!P80),0,1)</f>
        <v>1</v>
      </c>
      <c r="IL8" t="s">
        <v>282</v>
      </c>
    </row>
    <row r="9" spans="1:246" x14ac:dyDescent="0.2">
      <c r="IF9">
        <v>-1</v>
      </c>
      <c r="IK9" s="12" t="s">
        <v>342</v>
      </c>
      <c r="IL9" t="s">
        <v>198</v>
      </c>
    </row>
    <row r="10" spans="1:246" x14ac:dyDescent="0.2">
      <c r="IF10">
        <v>-1</v>
      </c>
      <c r="IK10">
        <v>2</v>
      </c>
      <c r="IL10" t="s">
        <v>195</v>
      </c>
    </row>
    <row r="11" spans="1:246" x14ac:dyDescent="0.2">
      <c r="IF11">
        <v>-1</v>
      </c>
      <c r="IK11" t="s">
        <v>341</v>
      </c>
      <c r="IL11" t="s">
        <v>196</v>
      </c>
    </row>
    <row r="12" spans="1:246" x14ac:dyDescent="0.2">
      <c r="A12" s="1">
        <v>1</v>
      </c>
      <c r="B12" s="1">
        <v>128</v>
      </c>
      <c r="C12" s="1">
        <v>0</v>
      </c>
      <c r="D12" s="1">
        <f>ROW(A64)</f>
        <v>64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B64</f>
        <v>128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5.1.1.1 Устройство котлована</v>
      </c>
      <c r="G18" s="3" t="str">
        <f t="shared" si="0"/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18" s="3"/>
      <c r="I18" s="3"/>
      <c r="J18" s="3"/>
      <c r="K18" s="3"/>
      <c r="L18" s="3"/>
      <c r="M18" s="3"/>
      <c r="N18" s="3"/>
      <c r="O18" s="3">
        <f t="shared" ref="O18:AT18" si="1">O64</f>
        <v>29890</v>
      </c>
      <c r="P18" s="3">
        <f t="shared" si="1"/>
        <v>0</v>
      </c>
      <c r="Q18" s="3">
        <f t="shared" si="1"/>
        <v>27701</v>
      </c>
      <c r="R18" s="3">
        <f t="shared" si="1"/>
        <v>1304</v>
      </c>
      <c r="S18" s="3">
        <f t="shared" si="1"/>
        <v>2189</v>
      </c>
      <c r="T18" s="3">
        <f t="shared" si="1"/>
        <v>0</v>
      </c>
      <c r="U18" s="3">
        <f t="shared" si="1"/>
        <v>278.18263499999995</v>
      </c>
      <c r="V18" s="3">
        <f t="shared" si="1"/>
        <v>95.796950999999993</v>
      </c>
      <c r="W18" s="3">
        <f t="shared" si="1"/>
        <v>0</v>
      </c>
      <c r="X18" s="3">
        <f t="shared" si="1"/>
        <v>3004</v>
      </c>
      <c r="Y18" s="3">
        <f t="shared" si="1"/>
        <v>1643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34537</v>
      </c>
      <c r="AS18" s="3">
        <f t="shared" si="1"/>
        <v>34537</v>
      </c>
      <c r="AT18" s="3">
        <f t="shared" si="1"/>
        <v>0</v>
      </c>
      <c r="AU18" s="3">
        <f t="shared" ref="AU18:BZ18" si="2">AU64</f>
        <v>0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16406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CA64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DG64</f>
        <v>244662</v>
      </c>
      <c r="DH18" s="4">
        <f t="shared" si="4"/>
        <v>0</v>
      </c>
      <c r="DI18" s="4">
        <f t="shared" si="4"/>
        <v>189207</v>
      </c>
      <c r="DJ18" s="4">
        <f t="shared" si="4"/>
        <v>23899</v>
      </c>
      <c r="DK18" s="4">
        <f t="shared" si="4"/>
        <v>55455</v>
      </c>
      <c r="DL18" s="4">
        <f t="shared" si="4"/>
        <v>0</v>
      </c>
      <c r="DM18" s="4">
        <f t="shared" si="4"/>
        <v>278.18263499999995</v>
      </c>
      <c r="DN18" s="4">
        <f t="shared" si="4"/>
        <v>95.796950999999993</v>
      </c>
      <c r="DO18" s="4">
        <f t="shared" si="4"/>
        <v>0</v>
      </c>
      <c r="DP18" s="4">
        <f t="shared" si="4"/>
        <v>63981</v>
      </c>
      <c r="DQ18" s="4">
        <f t="shared" si="4"/>
        <v>31466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340109</v>
      </c>
      <c r="EK18" s="4">
        <f t="shared" si="4"/>
        <v>340109</v>
      </c>
      <c r="EL18" s="4">
        <f t="shared" si="4"/>
        <v>0</v>
      </c>
      <c r="EM18" s="4">
        <f t="shared" ref="EM18:FR18" si="5">EM64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116807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FS64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ROW(A34)</f>
        <v>34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6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B34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5.1.1.1</v>
      </c>
      <c r="G22" s="3" t="str">
        <f t="shared" si="7"/>
        <v>Устройство котлована</v>
      </c>
      <c r="H22" s="3"/>
      <c r="I22" s="3"/>
      <c r="J22" s="3"/>
      <c r="K22" s="3"/>
      <c r="L22" s="3"/>
      <c r="M22" s="3"/>
      <c r="N22" s="3"/>
      <c r="O22" s="3">
        <f t="shared" ref="O22:AT22" si="8">O34</f>
        <v>29890</v>
      </c>
      <c r="P22" s="3">
        <f t="shared" si="8"/>
        <v>0</v>
      </c>
      <c r="Q22" s="3">
        <f t="shared" si="8"/>
        <v>27701</v>
      </c>
      <c r="R22" s="3">
        <f t="shared" si="8"/>
        <v>1304</v>
      </c>
      <c r="S22" s="3">
        <f t="shared" si="8"/>
        <v>2189</v>
      </c>
      <c r="T22" s="3">
        <f t="shared" si="8"/>
        <v>0</v>
      </c>
      <c r="U22" s="3">
        <f t="shared" si="8"/>
        <v>278.18263499999995</v>
      </c>
      <c r="V22" s="3">
        <f t="shared" si="8"/>
        <v>95.796950999999993</v>
      </c>
      <c r="W22" s="3">
        <f t="shared" si="8"/>
        <v>0</v>
      </c>
      <c r="X22" s="3">
        <f t="shared" si="8"/>
        <v>3004</v>
      </c>
      <c r="Y22" s="3">
        <f t="shared" si="8"/>
        <v>1643</v>
      </c>
      <c r="Z22" s="3">
        <f t="shared" si="8"/>
        <v>0</v>
      </c>
      <c r="AA22" s="3">
        <f t="shared" si="8"/>
        <v>0</v>
      </c>
      <c r="AB22" s="3">
        <f t="shared" si="8"/>
        <v>29890</v>
      </c>
      <c r="AC22" s="3">
        <f t="shared" si="8"/>
        <v>0</v>
      </c>
      <c r="AD22" s="3">
        <f t="shared" si="8"/>
        <v>27701</v>
      </c>
      <c r="AE22" s="3">
        <f t="shared" si="8"/>
        <v>1304</v>
      </c>
      <c r="AF22" s="3">
        <f t="shared" si="8"/>
        <v>2189</v>
      </c>
      <c r="AG22" s="3">
        <f t="shared" si="8"/>
        <v>0</v>
      </c>
      <c r="AH22" s="3">
        <f t="shared" si="8"/>
        <v>278.18263499999995</v>
      </c>
      <c r="AI22" s="3">
        <f t="shared" si="8"/>
        <v>95.796950999999993</v>
      </c>
      <c r="AJ22" s="3">
        <f t="shared" si="8"/>
        <v>0</v>
      </c>
      <c r="AK22" s="3">
        <f t="shared" si="8"/>
        <v>3004</v>
      </c>
      <c r="AL22" s="3">
        <f t="shared" si="8"/>
        <v>1643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34537</v>
      </c>
      <c r="AS22" s="3">
        <f t="shared" si="8"/>
        <v>34537</v>
      </c>
      <c r="AT22" s="3">
        <f t="shared" si="8"/>
        <v>0</v>
      </c>
      <c r="AU22" s="3">
        <f t="shared" ref="AU22:BZ22" si="9">AU34</f>
        <v>0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16406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CA34</f>
        <v>34537</v>
      </c>
      <c r="CB22" s="3">
        <f t="shared" si="10"/>
        <v>34537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16406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DG34</f>
        <v>244662</v>
      </c>
      <c r="DH22" s="4">
        <f t="shared" si="11"/>
        <v>0</v>
      </c>
      <c r="DI22" s="4">
        <f t="shared" si="11"/>
        <v>189207</v>
      </c>
      <c r="DJ22" s="4">
        <f t="shared" si="11"/>
        <v>23899</v>
      </c>
      <c r="DK22" s="4">
        <f t="shared" si="11"/>
        <v>55455</v>
      </c>
      <c r="DL22" s="4">
        <f t="shared" si="11"/>
        <v>0</v>
      </c>
      <c r="DM22" s="4">
        <f t="shared" si="11"/>
        <v>278.18263499999995</v>
      </c>
      <c r="DN22" s="4">
        <f t="shared" si="11"/>
        <v>95.796950999999993</v>
      </c>
      <c r="DO22" s="4">
        <f t="shared" si="11"/>
        <v>0</v>
      </c>
      <c r="DP22" s="4">
        <f t="shared" si="11"/>
        <v>63981</v>
      </c>
      <c r="DQ22" s="4">
        <f t="shared" si="11"/>
        <v>31466</v>
      </c>
      <c r="DR22" s="4">
        <f t="shared" si="11"/>
        <v>0</v>
      </c>
      <c r="DS22" s="4">
        <f t="shared" si="11"/>
        <v>0</v>
      </c>
      <c r="DT22" s="4">
        <f t="shared" si="11"/>
        <v>244662</v>
      </c>
      <c r="DU22" s="4">
        <f t="shared" si="11"/>
        <v>0</v>
      </c>
      <c r="DV22" s="4">
        <f t="shared" si="11"/>
        <v>189207</v>
      </c>
      <c r="DW22" s="4">
        <f t="shared" si="11"/>
        <v>23899</v>
      </c>
      <c r="DX22" s="4">
        <f t="shared" si="11"/>
        <v>55455</v>
      </c>
      <c r="DY22" s="4">
        <f t="shared" si="11"/>
        <v>0</v>
      </c>
      <c r="DZ22" s="4">
        <f t="shared" si="11"/>
        <v>278.18263499999995</v>
      </c>
      <c r="EA22" s="4">
        <f t="shared" si="11"/>
        <v>95.796950999999993</v>
      </c>
      <c r="EB22" s="4">
        <f t="shared" si="11"/>
        <v>0</v>
      </c>
      <c r="EC22" s="4">
        <f t="shared" si="11"/>
        <v>63981</v>
      </c>
      <c r="ED22" s="4">
        <f t="shared" si="11"/>
        <v>31466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340109</v>
      </c>
      <c r="EK22" s="4">
        <f t="shared" si="11"/>
        <v>340109</v>
      </c>
      <c r="EL22" s="4">
        <f t="shared" si="11"/>
        <v>0</v>
      </c>
      <c r="EM22" s="4">
        <f t="shared" ref="EM22:FR22" si="12">EM34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116807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FS34</f>
        <v>340109</v>
      </c>
      <c r="FT22" s="4">
        <f t="shared" si="13"/>
        <v>340109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116807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6</v>
      </c>
      <c r="G24" s="2" t="s">
        <v>16</v>
      </c>
      <c r="H24" s="2" t="s">
        <v>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 s="2">
        <v>17</v>
      </c>
      <c r="B25" s="2">
        <v>1</v>
      </c>
      <c r="C25" s="2">
        <f>ROW(SmtRes!A2)</f>
        <v>2</v>
      </c>
      <c r="D25" s="2">
        <f>ROW(EtalonRes!A2)</f>
        <v>2</v>
      </c>
      <c r="E25" s="2" t="s">
        <v>17</v>
      </c>
      <c r="F25" s="2" t="s">
        <v>18</v>
      </c>
      <c r="G25" s="2" t="s">
        <v>19</v>
      </c>
      <c r="H25" s="2" t="s">
        <v>20</v>
      </c>
      <c r="I25" s="2">
        <f>'2.Лок.смета.и.Акт в ЕР'!E50</f>
        <v>3.2006999999999999</v>
      </c>
      <c r="J25" s="2">
        <v>0</v>
      </c>
      <c r="K25" s="2">
        <f>ROUND(3200.7/1000,9)</f>
        <v>3.2006999999999999</v>
      </c>
      <c r="L25" s="2"/>
      <c r="M25" s="2"/>
      <c r="N25" s="2"/>
      <c r="O25" s="2">
        <f t="shared" ref="O25:O32" si="14">ROUND(CP25,0)</f>
        <v>10137</v>
      </c>
      <c r="P25" s="2">
        <f t="shared" ref="P25:P32" si="15">ROUND(CQ25*I25,0)</f>
        <v>0</v>
      </c>
      <c r="Q25" s="2">
        <f t="shared" ref="Q25:Q32" si="16">ROUND(CR25*I25,0)</f>
        <v>10137</v>
      </c>
      <c r="R25" s="2">
        <f t="shared" ref="R25:R32" si="17">ROUND(CS25*I25,0)</f>
        <v>1131</v>
      </c>
      <c r="S25" s="2">
        <f t="shared" ref="S25:S32" si="18">ROUND(CT25*I25,0)</f>
        <v>0</v>
      </c>
      <c r="T25" s="2">
        <f t="shared" ref="T25:T32" si="19">ROUND(CU25*I25,0)</f>
        <v>0</v>
      </c>
      <c r="U25" s="2">
        <f t="shared" ref="U25:U32" si="20">CV25*I25</f>
        <v>0</v>
      </c>
      <c r="V25" s="2">
        <f t="shared" ref="V25:V32" si="21">CW25*I25</f>
        <v>83.090171999999995</v>
      </c>
      <c r="W25" s="2">
        <f t="shared" ref="W25:W32" si="22">ROUND(CX25*I25,0)</f>
        <v>0</v>
      </c>
      <c r="X25" s="2">
        <f t="shared" ref="X25:Y32" si="23">ROUND(CY25,0)</f>
        <v>1074</v>
      </c>
      <c r="Y25" s="2">
        <f t="shared" si="23"/>
        <v>566</v>
      </c>
      <c r="Z25" s="2"/>
      <c r="AA25" s="2">
        <v>62803415</v>
      </c>
      <c r="AB25" s="2">
        <f t="shared" ref="AB25:AB32" si="24">ROUND((AC25+AD25+AF25),2)</f>
        <v>3167.12</v>
      </c>
      <c r="AC25" s="2">
        <f>ROUND((ES25),2)</f>
        <v>0</v>
      </c>
      <c r="AD25" s="2">
        <f>ROUND((((ET25)-(EU25))+AE25),2)</f>
        <v>3167.12</v>
      </c>
      <c r="AE25" s="2">
        <f>ROUND((EU25),2)</f>
        <v>353.32</v>
      </c>
      <c r="AF25" s="2">
        <f>ROUND((EV25),2)</f>
        <v>0</v>
      </c>
      <c r="AG25" s="2">
        <f t="shared" ref="AG25:AG32" si="25">ROUND((AP25),2)</f>
        <v>0</v>
      </c>
      <c r="AH25" s="2">
        <f t="shared" ref="AH25:AI30" si="26">(EW25)</f>
        <v>0</v>
      </c>
      <c r="AI25" s="2">
        <f t="shared" si="26"/>
        <v>25.96</v>
      </c>
      <c r="AJ25" s="2">
        <f t="shared" ref="AJ25:AJ32" si="27">(AS25)</f>
        <v>0</v>
      </c>
      <c r="AK25" s="2">
        <v>3167.12</v>
      </c>
      <c r="AL25" s="2">
        <v>0</v>
      </c>
      <c r="AM25" s="2">
        <v>3167.12</v>
      </c>
      <c r="AN25" s="2">
        <v>353.32</v>
      </c>
      <c r="AO25" s="2">
        <v>0</v>
      </c>
      <c r="AP25" s="2">
        <v>0</v>
      </c>
      <c r="AQ25" s="2">
        <v>0</v>
      </c>
      <c r="AR25" s="2">
        <v>25.96</v>
      </c>
      <c r="AS25" s="2">
        <v>0</v>
      </c>
      <c r="AT25" s="2">
        <v>95</v>
      </c>
      <c r="AU25" s="2">
        <v>50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6</v>
      </c>
      <c r="BE25" s="2" t="s">
        <v>6</v>
      </c>
      <c r="BF25" s="2" t="s">
        <v>6</v>
      </c>
      <c r="BG25" s="2" t="s">
        <v>6</v>
      </c>
      <c r="BH25" s="2">
        <v>0</v>
      </c>
      <c r="BI25" s="2">
        <v>1</v>
      </c>
      <c r="BJ25" s="2" t="s">
        <v>21</v>
      </c>
      <c r="BK25" s="2"/>
      <c r="BL25" s="2"/>
      <c r="BM25" s="2">
        <v>1001</v>
      </c>
      <c r="BN25" s="2">
        <v>0</v>
      </c>
      <c r="BO25" s="2" t="s">
        <v>6</v>
      </c>
      <c r="BP25" s="2">
        <v>0</v>
      </c>
      <c r="BQ25" s="2">
        <v>1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6</v>
      </c>
      <c r="BZ25" s="2">
        <v>95</v>
      </c>
      <c r="CA25" s="2">
        <v>50</v>
      </c>
      <c r="CB25" s="2" t="s">
        <v>6</v>
      </c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6</v>
      </c>
      <c r="CO25" s="2">
        <v>0</v>
      </c>
      <c r="CP25" s="2">
        <f t="shared" ref="CP25:CP32" si="28">(P25+Q25+S25)</f>
        <v>10137</v>
      </c>
      <c r="CQ25" s="2">
        <f t="shared" ref="CQ25:CQ32" si="29">AC25*BC25</f>
        <v>0</v>
      </c>
      <c r="CR25" s="2">
        <f t="shared" ref="CR25:CR32" si="30">AD25*BB25</f>
        <v>3167.12</v>
      </c>
      <c r="CS25" s="2">
        <f t="shared" ref="CS25:CS32" si="31">AE25*BS25</f>
        <v>353.32</v>
      </c>
      <c r="CT25" s="2">
        <f t="shared" ref="CT25:CT32" si="32">AF25*BA25</f>
        <v>0</v>
      </c>
      <c r="CU25" s="2">
        <f t="shared" ref="CU25:CX32" si="33">AG25</f>
        <v>0</v>
      </c>
      <c r="CV25" s="2">
        <f t="shared" si="33"/>
        <v>0</v>
      </c>
      <c r="CW25" s="2">
        <f t="shared" si="33"/>
        <v>25.96</v>
      </c>
      <c r="CX25" s="2">
        <f t="shared" si="33"/>
        <v>0</v>
      </c>
      <c r="CY25" s="2">
        <f>(((S25+(R25*IF(0,0,1)))*AT25)/100)</f>
        <v>1074.45</v>
      </c>
      <c r="CZ25" s="2">
        <f>(((S25+(R25*IF(0,0,1)))*AU25)/100)</f>
        <v>565.5</v>
      </c>
      <c r="DA25" s="2"/>
      <c r="DB25" s="2"/>
      <c r="DC25" s="2" t="s">
        <v>6</v>
      </c>
      <c r="DD25" s="2" t="s">
        <v>6</v>
      </c>
      <c r="DE25" s="2" t="s">
        <v>6</v>
      </c>
      <c r="DF25" s="2" t="s">
        <v>6</v>
      </c>
      <c r="DG25" s="2" t="s">
        <v>6</v>
      </c>
      <c r="DH25" s="2" t="s">
        <v>6</v>
      </c>
      <c r="DI25" s="2" t="s">
        <v>6</v>
      </c>
      <c r="DJ25" s="2" t="s">
        <v>6</v>
      </c>
      <c r="DK25" s="2" t="s">
        <v>6</v>
      </c>
      <c r="DL25" s="2" t="s">
        <v>6</v>
      </c>
      <c r="DM25" s="2" t="s">
        <v>6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1007</v>
      </c>
      <c r="DV25" s="2" t="s">
        <v>20</v>
      </c>
      <c r="DW25" s="2" t="s">
        <v>20</v>
      </c>
      <c r="DX25" s="2">
        <v>1000</v>
      </c>
      <c r="DY25" s="2"/>
      <c r="DZ25" s="2" t="s">
        <v>6</v>
      </c>
      <c r="EA25" s="2" t="s">
        <v>6</v>
      </c>
      <c r="EB25" s="2" t="s">
        <v>6</v>
      </c>
      <c r="EC25" s="2" t="s">
        <v>6</v>
      </c>
      <c r="ED25" s="2"/>
      <c r="EE25" s="2">
        <v>53008004</v>
      </c>
      <c r="EF25" s="2">
        <v>1</v>
      </c>
      <c r="EG25" s="2" t="s">
        <v>22</v>
      </c>
      <c r="EH25" s="2">
        <v>0</v>
      </c>
      <c r="EI25" s="2" t="s">
        <v>6</v>
      </c>
      <c r="EJ25" s="2">
        <v>1</v>
      </c>
      <c r="EK25" s="2">
        <v>1001</v>
      </c>
      <c r="EL25" s="2" t="s">
        <v>23</v>
      </c>
      <c r="EM25" s="2" t="s">
        <v>24</v>
      </c>
      <c r="EN25" s="2"/>
      <c r="EO25" s="2" t="s">
        <v>6</v>
      </c>
      <c r="EP25" s="2"/>
      <c r="EQ25" s="2">
        <v>131072</v>
      </c>
      <c r="ER25" s="2">
        <v>3167.12</v>
      </c>
      <c r="ES25" s="2">
        <v>0</v>
      </c>
      <c r="ET25" s="2">
        <v>3167.12</v>
      </c>
      <c r="EU25" s="2">
        <v>353.32</v>
      </c>
      <c r="EV25" s="2">
        <v>0</v>
      </c>
      <c r="EW25" s="2">
        <v>0</v>
      </c>
      <c r="EX25" s="2">
        <v>25.96</v>
      </c>
      <c r="EY25" s="2">
        <v>0</v>
      </c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f t="shared" ref="FR25:FR32" si="34">ROUND(IF(AND(BH25=3,BI25=3),P25,0),0)</f>
        <v>0</v>
      </c>
      <c r="FS25" s="2">
        <v>0</v>
      </c>
      <c r="FT25" s="2"/>
      <c r="FU25" s="2"/>
      <c r="FV25" s="2"/>
      <c r="FW25" s="2"/>
      <c r="FX25" s="2">
        <v>95</v>
      </c>
      <c r="FY25" s="2">
        <v>50</v>
      </c>
      <c r="FZ25" s="2"/>
      <c r="GA25" s="2" t="s">
        <v>6</v>
      </c>
      <c r="GB25" s="2"/>
      <c r="GC25" s="2"/>
      <c r="GD25" s="2">
        <v>1</v>
      </c>
      <c r="GE25" s="2"/>
      <c r="GF25" s="2">
        <v>-603028325</v>
      </c>
      <c r="GG25" s="2">
        <v>2</v>
      </c>
      <c r="GH25" s="2">
        <v>1</v>
      </c>
      <c r="GI25" s="2">
        <v>-2</v>
      </c>
      <c r="GJ25" s="2">
        <v>0</v>
      </c>
      <c r="GK25" s="2">
        <v>0</v>
      </c>
      <c r="GL25" s="2">
        <f t="shared" ref="GL25:GL32" si="35">ROUND(IF(AND(BH25=3,BI25=3,FS25&lt;&gt;0),P25,0),0)</f>
        <v>0</v>
      </c>
      <c r="GM25" s="2">
        <f t="shared" ref="GM25:GM32" si="36">ROUND(O25+X25+Y25,0)+GX25</f>
        <v>11777</v>
      </c>
      <c r="GN25" s="2">
        <f t="shared" ref="GN25:GN32" si="37">IF(OR(BI25=0,BI25=1),ROUND(O25+X25+Y25,0),0)</f>
        <v>11777</v>
      </c>
      <c r="GO25" s="2">
        <f t="shared" ref="GO25:GO32" si="38">IF(BI25=2,ROUND(O25+X25+Y25,0),0)</f>
        <v>0</v>
      </c>
      <c r="GP25" s="2">
        <f t="shared" ref="GP25:GP32" si="39">IF(BI25=4,ROUND(O25+X25+Y25,0)+GX25,0)</f>
        <v>0</v>
      </c>
      <c r="GQ25" s="2"/>
      <c r="GR25" s="2">
        <v>0</v>
      </c>
      <c r="GS25" s="2">
        <v>3</v>
      </c>
      <c r="GT25" s="2">
        <v>0</v>
      </c>
      <c r="GU25" s="2" t="s">
        <v>6</v>
      </c>
      <c r="GV25" s="2">
        <f t="shared" ref="GV25:GV32" si="40">ROUND((GT25),2)</f>
        <v>0</v>
      </c>
      <c r="GW25" s="2">
        <v>1</v>
      </c>
      <c r="GX25" s="2">
        <f t="shared" ref="GX25:GX32" si="41">ROUND(HC25*I25,0)</f>
        <v>0</v>
      </c>
      <c r="GY25" s="2"/>
      <c r="GZ25" s="2"/>
      <c r="HA25" s="2">
        <v>0</v>
      </c>
      <c r="HB25" s="2">
        <v>0</v>
      </c>
      <c r="HC25" s="2">
        <f t="shared" ref="HC25:HC32" si="42">GV25*GW25</f>
        <v>0</v>
      </c>
      <c r="HD25" s="2"/>
      <c r="HE25" s="2" t="s">
        <v>6</v>
      </c>
      <c r="HF25" s="2" t="s">
        <v>6</v>
      </c>
      <c r="HG25" s="2"/>
      <c r="HH25" s="2"/>
      <c r="HI25" s="2"/>
      <c r="HJ25" s="2"/>
      <c r="HK25" s="2"/>
      <c r="HL25" s="2"/>
      <c r="HM25" s="2" t="s">
        <v>6</v>
      </c>
      <c r="HN25" s="2" t="s">
        <v>6</v>
      </c>
      <c r="HO25" s="2" t="s">
        <v>6</v>
      </c>
      <c r="HP25" s="2" t="s">
        <v>6</v>
      </c>
      <c r="HQ25" s="2" t="s">
        <v>6</v>
      </c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>
        <v>-1</v>
      </c>
      <c r="IG25" s="2"/>
      <c r="IH25" s="2"/>
      <c r="II25" s="2"/>
      <c r="IJ25" s="2"/>
      <c r="IK25" s="2">
        <v>0</v>
      </c>
      <c r="IL25" s="2" t="s">
        <v>207</v>
      </c>
      <c r="IM25" s="2">
        <v>3.2006999999999999</v>
      </c>
      <c r="IN25" s="2"/>
      <c r="IO25" s="2"/>
      <c r="IP25" s="2"/>
      <c r="IQ25" s="2"/>
      <c r="IR25" s="2"/>
      <c r="IS25" s="2"/>
      <c r="IT25" s="2"/>
      <c r="IU25" s="2"/>
    </row>
    <row r="26" spans="1:255" x14ac:dyDescent="0.2">
      <c r="A26">
        <v>17</v>
      </c>
      <c r="B26">
        <v>1</v>
      </c>
      <c r="C26">
        <f>ROW(SmtRes!A4)</f>
        <v>4</v>
      </c>
      <c r="D26">
        <f>ROW(EtalonRes!A4)</f>
        <v>4</v>
      </c>
      <c r="E26" t="s">
        <v>17</v>
      </c>
      <c r="F26" t="s">
        <v>18</v>
      </c>
      <c r="G26" t="s">
        <v>19</v>
      </c>
      <c r="H26" t="s">
        <v>20</v>
      </c>
      <c r="I26">
        <f>'2.Лок.смета.и.Акт в ЕР'!E50</f>
        <v>3.2006999999999999</v>
      </c>
      <c r="J26">
        <v>0</v>
      </c>
      <c r="K26">
        <f>ROUND(3200.7/1000,9)</f>
        <v>3.2006999999999999</v>
      </c>
      <c r="O26">
        <f t="shared" si="14"/>
        <v>64978</v>
      </c>
      <c r="P26">
        <f t="shared" si="15"/>
        <v>0</v>
      </c>
      <c r="Q26">
        <f t="shared" si="16"/>
        <v>64978</v>
      </c>
      <c r="R26">
        <f t="shared" si="17"/>
        <v>20729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83.090171999999995</v>
      </c>
      <c r="W26">
        <f t="shared" si="22"/>
        <v>0</v>
      </c>
      <c r="X26">
        <f t="shared" si="23"/>
        <v>18656</v>
      </c>
      <c r="Y26">
        <f t="shared" si="23"/>
        <v>8913</v>
      </c>
      <c r="AA26">
        <v>62803416</v>
      </c>
      <c r="AB26">
        <f t="shared" si="24"/>
        <v>3167.12</v>
      </c>
      <c r="AC26">
        <f>ROUND((ES26),2)</f>
        <v>0</v>
      </c>
      <c r="AD26">
        <f>ROUND((((ET26)-(EU26))+AE26),2)</f>
        <v>3167.12</v>
      </c>
      <c r="AE26">
        <f>ROUND((EU26),2)</f>
        <v>353.32</v>
      </c>
      <c r="AF26">
        <f>ROUND((EV26),2)</f>
        <v>0</v>
      </c>
      <c r="AG26">
        <f t="shared" si="25"/>
        <v>0</v>
      </c>
      <c r="AH26">
        <f t="shared" si="26"/>
        <v>0</v>
      </c>
      <c r="AI26">
        <f t="shared" si="26"/>
        <v>25.96</v>
      </c>
      <c r="AJ26">
        <f t="shared" si="27"/>
        <v>0</v>
      </c>
      <c r="AK26" s="77">
        <f>AL26+AM26+AO26</f>
        <v>3167.12</v>
      </c>
      <c r="AL26">
        <v>0</v>
      </c>
      <c r="AM26" s="77">
        <f>'2.Лок.смета.и.Акт в ЕР'!F52</f>
        <v>3167.12</v>
      </c>
      <c r="AN26" s="77">
        <f>'2.Лок.смета.и.Акт в ЕР'!F53</f>
        <v>353.32</v>
      </c>
      <c r="AO26">
        <v>0</v>
      </c>
      <c r="AP26">
        <v>0</v>
      </c>
      <c r="AQ26">
        <v>0</v>
      </c>
      <c r="AR26">
        <v>25.96</v>
      </c>
      <c r="AS26">
        <v>0</v>
      </c>
      <c r="AT26">
        <v>90</v>
      </c>
      <c r="AU26">
        <v>43</v>
      </c>
      <c r="AV26">
        <v>1</v>
      </c>
      <c r="AW26">
        <v>1</v>
      </c>
      <c r="AZ26">
        <v>1</v>
      </c>
      <c r="BA26">
        <v>25.33</v>
      </c>
      <c r="BB26">
        <f>'2.Лок.смета.и.Акт в ЕР'!J52</f>
        <v>6.41</v>
      </c>
      <c r="BC26">
        <v>7.56</v>
      </c>
      <c r="BD26" t="s">
        <v>6</v>
      </c>
      <c r="BE26" t="s">
        <v>6</v>
      </c>
      <c r="BF26" t="s">
        <v>6</v>
      </c>
      <c r="BG26" t="s">
        <v>6</v>
      </c>
      <c r="BH26">
        <v>0</v>
      </c>
      <c r="BI26">
        <v>1</v>
      </c>
      <c r="BJ26" t="s">
        <v>21</v>
      </c>
      <c r="BM26">
        <v>1001</v>
      </c>
      <c r="BN26">
        <v>0</v>
      </c>
      <c r="BO26" t="s">
        <v>18</v>
      </c>
      <c r="BP26">
        <v>1</v>
      </c>
      <c r="BQ26">
        <v>1</v>
      </c>
      <c r="BR26">
        <v>0</v>
      </c>
      <c r="BS26">
        <f>'2.Лок.смета.и.Акт в ЕР'!J53</f>
        <v>18.329999999999998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6</v>
      </c>
      <c r="BZ26">
        <v>90</v>
      </c>
      <c r="CA26">
        <v>43</v>
      </c>
      <c r="CB26" t="s">
        <v>6</v>
      </c>
      <c r="CE26">
        <v>0</v>
      </c>
      <c r="CF26">
        <v>0</v>
      </c>
      <c r="CG26">
        <v>0</v>
      </c>
      <c r="CM26">
        <v>0</v>
      </c>
      <c r="CN26" t="s">
        <v>6</v>
      </c>
      <c r="CO26">
        <v>0</v>
      </c>
      <c r="CP26">
        <f t="shared" si="28"/>
        <v>64978</v>
      </c>
      <c r="CQ26">
        <f t="shared" si="29"/>
        <v>0</v>
      </c>
      <c r="CR26">
        <f t="shared" si="30"/>
        <v>20301.2392</v>
      </c>
      <c r="CS26">
        <f t="shared" si="31"/>
        <v>6476.355599999999</v>
      </c>
      <c r="CT26">
        <f t="shared" si="32"/>
        <v>0</v>
      </c>
      <c r="CU26">
        <f t="shared" si="33"/>
        <v>0</v>
      </c>
      <c r="CV26">
        <f t="shared" si="33"/>
        <v>0</v>
      </c>
      <c r="CW26">
        <f t="shared" si="33"/>
        <v>25.96</v>
      </c>
      <c r="CX26">
        <f t="shared" si="33"/>
        <v>0</v>
      </c>
      <c r="CY26">
        <f>(S26+R26)*(BZ26/100)</f>
        <v>18656.100000000002</v>
      </c>
      <c r="CZ26">
        <f>(S26+R26)*(CA26/100)</f>
        <v>8913.4699999999993</v>
      </c>
      <c r="DC26" t="s">
        <v>6</v>
      </c>
      <c r="DD26" t="s">
        <v>6</v>
      </c>
      <c r="DE26" t="s">
        <v>6</v>
      </c>
      <c r="DF26" t="s">
        <v>6</v>
      </c>
      <c r="DG26" t="s">
        <v>6</v>
      </c>
      <c r="DH26" t="s">
        <v>6</v>
      </c>
      <c r="DI26" t="s">
        <v>6</v>
      </c>
      <c r="DJ26" t="s">
        <v>6</v>
      </c>
      <c r="DK26" t="s">
        <v>6</v>
      </c>
      <c r="DL26" t="s">
        <v>6</v>
      </c>
      <c r="DM26" t="s">
        <v>6</v>
      </c>
      <c r="DN26">
        <f>'2.Лок.смета.и.Акт в ЕР'!E54</f>
        <v>95</v>
      </c>
      <c r="DO26">
        <f>'2.Лок.смета.и.Акт в ЕР'!E55</f>
        <v>50</v>
      </c>
      <c r="DP26">
        <v>1</v>
      </c>
      <c r="DQ26">
        <v>1</v>
      </c>
      <c r="DU26">
        <v>1007</v>
      </c>
      <c r="DV26" t="s">
        <v>20</v>
      </c>
      <c r="DW26" t="str">
        <f>'2.Лок.смета.и.Акт в ЕР'!D50</f>
        <v>1000 м3 грунта</v>
      </c>
      <c r="DX26">
        <v>1000</v>
      </c>
      <c r="DZ26" t="s">
        <v>6</v>
      </c>
      <c r="EA26" t="s">
        <v>6</v>
      </c>
      <c r="EB26" t="s">
        <v>6</v>
      </c>
      <c r="EC26" t="s">
        <v>6</v>
      </c>
      <c r="EE26">
        <v>53008004</v>
      </c>
      <c r="EF26">
        <v>1</v>
      </c>
      <c r="EG26" t="s">
        <v>22</v>
      </c>
      <c r="EH26">
        <v>0</v>
      </c>
      <c r="EI26" t="s">
        <v>6</v>
      </c>
      <c r="EJ26">
        <v>1</v>
      </c>
      <c r="EK26">
        <v>1001</v>
      </c>
      <c r="EL26" t="s">
        <v>23</v>
      </c>
      <c r="EM26" t="s">
        <v>24</v>
      </c>
      <c r="EO26" t="s">
        <v>6</v>
      </c>
      <c r="EQ26">
        <v>131072</v>
      </c>
      <c r="ER26" s="77">
        <f>ES26+ET26+EV26</f>
        <v>3167.12</v>
      </c>
      <c r="ES26">
        <v>0</v>
      </c>
      <c r="ET26" s="77">
        <f>'2.Лок.смета.и.Акт в ЕР'!F52</f>
        <v>3167.12</v>
      </c>
      <c r="EU26" s="77">
        <f>'2.Лок.смета.и.Акт в ЕР'!F53</f>
        <v>353.32</v>
      </c>
      <c r="EV26">
        <v>0</v>
      </c>
      <c r="EW26">
        <v>0</v>
      </c>
      <c r="EX26">
        <v>25.96</v>
      </c>
      <c r="EY26">
        <v>0</v>
      </c>
      <c r="FQ26">
        <v>0</v>
      </c>
      <c r="FR26">
        <f t="shared" si="34"/>
        <v>0</v>
      </c>
      <c r="FS26">
        <v>0</v>
      </c>
      <c r="FX26">
        <v>95</v>
      </c>
      <c r="FY26">
        <v>50</v>
      </c>
      <c r="GA26" t="s">
        <v>6</v>
      </c>
      <c r="GD26">
        <v>1</v>
      </c>
      <c r="GF26">
        <v>-603028325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35"/>
        <v>0</v>
      </c>
      <c r="GM26">
        <f t="shared" si="36"/>
        <v>92547</v>
      </c>
      <c r="GN26">
        <f t="shared" si="37"/>
        <v>92547</v>
      </c>
      <c r="GO26">
        <f t="shared" si="38"/>
        <v>0</v>
      </c>
      <c r="GP26">
        <f t="shared" si="39"/>
        <v>0</v>
      </c>
      <c r="GR26">
        <v>0</v>
      </c>
      <c r="GS26">
        <v>3</v>
      </c>
      <c r="GT26">
        <v>0</v>
      </c>
      <c r="GU26" t="s">
        <v>6</v>
      </c>
      <c r="GV26">
        <f t="shared" si="40"/>
        <v>0</v>
      </c>
      <c r="GW26">
        <v>1010.1</v>
      </c>
      <c r="GX26">
        <f t="shared" si="41"/>
        <v>0</v>
      </c>
      <c r="HA26">
        <v>0</v>
      </c>
      <c r="HB26">
        <v>0</v>
      </c>
      <c r="HC26">
        <f t="shared" si="42"/>
        <v>0</v>
      </c>
      <c r="HE26" t="s">
        <v>6</v>
      </c>
      <c r="HF26" t="s">
        <v>6</v>
      </c>
      <c r="HM26" t="s">
        <v>6</v>
      </c>
      <c r="HN26" t="s">
        <v>6</v>
      </c>
      <c r="HO26" t="s">
        <v>6</v>
      </c>
      <c r="HP26" t="s">
        <v>6</v>
      </c>
      <c r="HQ26" t="s">
        <v>6</v>
      </c>
      <c r="IF26">
        <v>-1</v>
      </c>
      <c r="IK26">
        <v>0</v>
      </c>
      <c r="IL26" t="s">
        <v>207</v>
      </c>
      <c r="IM26">
        <v>3.2006999999999999</v>
      </c>
    </row>
    <row r="27" spans="1:255" x14ac:dyDescent="0.2">
      <c r="A27" s="2">
        <v>17</v>
      </c>
      <c r="B27" s="2">
        <v>1</v>
      </c>
      <c r="C27" s="2">
        <f>ROW(SmtRes!A5)</f>
        <v>5</v>
      </c>
      <c r="D27" s="2">
        <f>ROW(EtalonRes!A5)</f>
        <v>5</v>
      </c>
      <c r="E27" s="2" t="s">
        <v>25</v>
      </c>
      <c r="F27" s="2" t="s">
        <v>26</v>
      </c>
      <c r="G27" s="2" t="s">
        <v>27</v>
      </c>
      <c r="H27" s="2" t="s">
        <v>28</v>
      </c>
      <c r="I27" s="2">
        <f>'2.Лок.смета.и.Акт в ЕР'!E58</f>
        <v>5505.2039999999997</v>
      </c>
      <c r="J27" s="2">
        <v>0</v>
      </c>
      <c r="K27" s="2">
        <f>ROUND(2240.49*1.75+960.21*1.65,9)</f>
        <v>5505.2039999999997</v>
      </c>
      <c r="L27" s="2"/>
      <c r="M27" s="2"/>
      <c r="N27" s="2"/>
      <c r="O27" s="2">
        <f t="shared" si="14"/>
        <v>16406</v>
      </c>
      <c r="P27" s="2">
        <f t="shared" si="15"/>
        <v>0</v>
      </c>
      <c r="Q27" s="2">
        <f t="shared" si="16"/>
        <v>16406</v>
      </c>
      <c r="R27" s="2">
        <f t="shared" si="17"/>
        <v>0</v>
      </c>
      <c r="S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W27" s="2">
        <f t="shared" si="22"/>
        <v>0</v>
      </c>
      <c r="X27" s="2">
        <f t="shared" si="23"/>
        <v>0</v>
      </c>
      <c r="Y27" s="2">
        <f t="shared" si="23"/>
        <v>0</v>
      </c>
      <c r="Z27" s="2"/>
      <c r="AA27" s="2">
        <v>62803415</v>
      </c>
      <c r="AB27" s="2">
        <f t="shared" si="24"/>
        <v>2.98</v>
      </c>
      <c r="AC27" s="2">
        <f>ROUND((ES27),2)</f>
        <v>0</v>
      </c>
      <c r="AD27" s="2">
        <f>ROUND(((ET27)+ROUND(((EU27)*1.85),2)),2)</f>
        <v>2.98</v>
      </c>
      <c r="AE27" s="2">
        <f>ROUND(((EU27)+ROUND(((EU27)*1.85),2)),2)</f>
        <v>0</v>
      </c>
      <c r="AF27" s="2">
        <f>ROUND(((EV27)+ROUND(((EV27)*1.85),2)),2)</f>
        <v>0</v>
      </c>
      <c r="AG27" s="2">
        <f t="shared" si="25"/>
        <v>0</v>
      </c>
      <c r="AH27" s="2">
        <f t="shared" si="26"/>
        <v>0</v>
      </c>
      <c r="AI27" s="2">
        <f t="shared" si="26"/>
        <v>0</v>
      </c>
      <c r="AJ27" s="2">
        <f t="shared" si="27"/>
        <v>0</v>
      </c>
      <c r="AK27" s="2">
        <v>2.98</v>
      </c>
      <c r="AL27" s="2">
        <v>0</v>
      </c>
      <c r="AM27" s="2">
        <v>2.98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6</v>
      </c>
      <c r="BE27" s="2" t="s">
        <v>6</v>
      </c>
      <c r="BF27" s="2" t="s">
        <v>6</v>
      </c>
      <c r="BG27" s="2" t="s">
        <v>6</v>
      </c>
      <c r="BH27" s="2">
        <v>0</v>
      </c>
      <c r="BI27" s="2">
        <v>1</v>
      </c>
      <c r="BJ27" s="2" t="s">
        <v>29</v>
      </c>
      <c r="BK27" s="2"/>
      <c r="BL27" s="2"/>
      <c r="BM27" s="2">
        <v>700001</v>
      </c>
      <c r="BN27" s="2">
        <v>0</v>
      </c>
      <c r="BO27" s="2" t="s">
        <v>6</v>
      </c>
      <c r="BP27" s="2">
        <v>0</v>
      </c>
      <c r="BQ27" s="2">
        <v>43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6</v>
      </c>
      <c r="BZ27" s="2">
        <v>0</v>
      </c>
      <c r="CA27" s="2">
        <v>0</v>
      </c>
      <c r="CB27" s="2" t="s">
        <v>6</v>
      </c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2" t="s">
        <v>6</v>
      </c>
      <c r="CO27" s="2">
        <v>0</v>
      </c>
      <c r="CP27" s="2">
        <f t="shared" si="28"/>
        <v>16406</v>
      </c>
      <c r="CQ27" s="2">
        <f t="shared" si="29"/>
        <v>0</v>
      </c>
      <c r="CR27" s="2">
        <f t="shared" si="30"/>
        <v>2.98</v>
      </c>
      <c r="CS27" s="2">
        <f t="shared" si="31"/>
        <v>0</v>
      </c>
      <c r="CT27" s="2">
        <f t="shared" si="32"/>
        <v>0</v>
      </c>
      <c r="CU27" s="2">
        <f t="shared" si="33"/>
        <v>0</v>
      </c>
      <c r="CV27" s="2">
        <f t="shared" si="33"/>
        <v>0</v>
      </c>
      <c r="CW27" s="2">
        <f t="shared" si="33"/>
        <v>0</v>
      </c>
      <c r="CX27" s="2">
        <f t="shared" si="33"/>
        <v>0</v>
      </c>
      <c r="CY27" s="2">
        <f>(((S27+(R27*IF(0,0,1)))*AT27)/100)</f>
        <v>0</v>
      </c>
      <c r="CZ27" s="2">
        <f>(((S27+(R27*IF(0,0,1)))*AU27)/100)</f>
        <v>0</v>
      </c>
      <c r="DA27" s="2"/>
      <c r="DB27" s="2"/>
      <c r="DC27" s="2" t="s">
        <v>6</v>
      </c>
      <c r="DD27" s="2" t="s">
        <v>6</v>
      </c>
      <c r="DE27" s="2" t="s">
        <v>6</v>
      </c>
      <c r="DF27" s="2" t="s">
        <v>6</v>
      </c>
      <c r="DG27" s="2" t="s">
        <v>6</v>
      </c>
      <c r="DH27" s="2" t="s">
        <v>6</v>
      </c>
      <c r="DI27" s="2" t="s">
        <v>6</v>
      </c>
      <c r="DJ27" s="2" t="s">
        <v>6</v>
      </c>
      <c r="DK27" s="2" t="s">
        <v>6</v>
      </c>
      <c r="DL27" s="2" t="s">
        <v>6</v>
      </c>
      <c r="DM27" s="2" t="s">
        <v>6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1013</v>
      </c>
      <c r="DV27" s="2" t="s">
        <v>28</v>
      </c>
      <c r="DW27" s="2" t="s">
        <v>28</v>
      </c>
      <c r="DX27" s="2">
        <v>1</v>
      </c>
      <c r="DY27" s="2"/>
      <c r="DZ27" s="2" t="s">
        <v>6</v>
      </c>
      <c r="EA27" s="2" t="s">
        <v>6</v>
      </c>
      <c r="EB27" s="2" t="s">
        <v>6</v>
      </c>
      <c r="EC27" s="2" t="s">
        <v>6</v>
      </c>
      <c r="ED27" s="2"/>
      <c r="EE27" s="2">
        <v>53008220</v>
      </c>
      <c r="EF27" s="2">
        <v>43</v>
      </c>
      <c r="EG27" s="2" t="s">
        <v>30</v>
      </c>
      <c r="EH27" s="2">
        <v>0</v>
      </c>
      <c r="EI27" s="2" t="s">
        <v>6</v>
      </c>
      <c r="EJ27" s="2">
        <v>1</v>
      </c>
      <c r="EK27" s="2">
        <v>700001</v>
      </c>
      <c r="EL27" s="2" t="s">
        <v>31</v>
      </c>
      <c r="EM27" s="2" t="s">
        <v>32</v>
      </c>
      <c r="EN27" s="2"/>
      <c r="EO27" s="2" t="s">
        <v>6</v>
      </c>
      <c r="EP27" s="2"/>
      <c r="EQ27" s="2">
        <v>131072</v>
      </c>
      <c r="ER27" s="2">
        <v>2.98</v>
      </c>
      <c r="ES27" s="2">
        <v>0</v>
      </c>
      <c r="ET27" s="2">
        <v>2.98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f t="shared" si="34"/>
        <v>0</v>
      </c>
      <c r="FS27" s="2">
        <v>0</v>
      </c>
      <c r="FT27" s="2"/>
      <c r="FU27" s="2"/>
      <c r="FV27" s="2"/>
      <c r="FW27" s="2"/>
      <c r="FX27" s="2">
        <v>0</v>
      </c>
      <c r="FY27" s="2">
        <v>0</v>
      </c>
      <c r="FZ27" s="2"/>
      <c r="GA27" s="2" t="s">
        <v>6</v>
      </c>
      <c r="GB27" s="2"/>
      <c r="GC27" s="2"/>
      <c r="GD27" s="2">
        <v>1</v>
      </c>
      <c r="GE27" s="2"/>
      <c r="GF27" s="2">
        <v>-1610609934</v>
      </c>
      <c r="GG27" s="2">
        <v>2</v>
      </c>
      <c r="GH27" s="2">
        <v>1</v>
      </c>
      <c r="GI27" s="2">
        <v>-2</v>
      </c>
      <c r="GJ27" s="2">
        <v>0</v>
      </c>
      <c r="GK27" s="2">
        <v>0</v>
      </c>
      <c r="GL27" s="2">
        <f t="shared" si="35"/>
        <v>0</v>
      </c>
      <c r="GM27" s="2">
        <f t="shared" si="36"/>
        <v>16406</v>
      </c>
      <c r="GN27" s="2">
        <f t="shared" si="37"/>
        <v>16406</v>
      </c>
      <c r="GO27" s="2">
        <f t="shared" si="38"/>
        <v>0</v>
      </c>
      <c r="GP27" s="2">
        <f t="shared" si="39"/>
        <v>0</v>
      </c>
      <c r="GQ27" s="2"/>
      <c r="GR27" s="2">
        <v>0</v>
      </c>
      <c r="GS27" s="2">
        <v>3</v>
      </c>
      <c r="GT27" s="2">
        <v>0</v>
      </c>
      <c r="GU27" s="2" t="s">
        <v>6</v>
      </c>
      <c r="GV27" s="2">
        <f t="shared" si="40"/>
        <v>0</v>
      </c>
      <c r="GW27" s="2">
        <v>1</v>
      </c>
      <c r="GX27" s="2">
        <f t="shared" si="41"/>
        <v>0</v>
      </c>
      <c r="GY27" s="2"/>
      <c r="GZ27" s="2"/>
      <c r="HA27" s="2">
        <v>0</v>
      </c>
      <c r="HB27" s="2">
        <v>0</v>
      </c>
      <c r="HC27" s="2">
        <f t="shared" si="42"/>
        <v>0</v>
      </c>
      <c r="HD27" s="2">
        <f>GM27</f>
        <v>16406</v>
      </c>
      <c r="HE27" s="2" t="s">
        <v>6</v>
      </c>
      <c r="HF27" s="2" t="s">
        <v>6</v>
      </c>
      <c r="HG27" s="2"/>
      <c r="HH27" s="2"/>
      <c r="HI27" s="2"/>
      <c r="HJ27" s="2"/>
      <c r="HK27" s="2"/>
      <c r="HL27" s="2"/>
      <c r="HM27" s="2" t="s">
        <v>6</v>
      </c>
      <c r="HN27" s="2" t="s">
        <v>6</v>
      </c>
      <c r="HO27" s="2" t="s">
        <v>6</v>
      </c>
      <c r="HP27" s="2" t="s">
        <v>6</v>
      </c>
      <c r="HQ27" s="2" t="s">
        <v>6</v>
      </c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>
        <v>-1</v>
      </c>
      <c r="IG27" s="2"/>
      <c r="IH27" s="2"/>
      <c r="II27" s="2"/>
      <c r="IJ27" s="2"/>
      <c r="IK27" s="2">
        <v>0</v>
      </c>
      <c r="IL27" s="2" t="s">
        <v>208</v>
      </c>
      <c r="IM27" s="2">
        <v>5505.2039999999997</v>
      </c>
      <c r="IN27" s="2"/>
      <c r="IO27" s="2"/>
      <c r="IP27" s="2"/>
      <c r="IQ27" s="2"/>
      <c r="IR27" s="2"/>
      <c r="IS27" s="2"/>
      <c r="IT27" s="2"/>
      <c r="IU27" s="2"/>
    </row>
    <row r="28" spans="1:255" x14ac:dyDescent="0.2">
      <c r="A28">
        <v>17</v>
      </c>
      <c r="B28">
        <v>1</v>
      </c>
      <c r="C28">
        <f>ROW(SmtRes!A6)</f>
        <v>6</v>
      </c>
      <c r="D28">
        <f>ROW(EtalonRes!A6)</f>
        <v>6</v>
      </c>
      <c r="E28" t="s">
        <v>25</v>
      </c>
      <c r="F28" t="s">
        <v>26</v>
      </c>
      <c r="G28" t="s">
        <v>27</v>
      </c>
      <c r="H28" t="s">
        <v>28</v>
      </c>
      <c r="I28">
        <f>'2.Лок.смета.и.Акт в ЕР'!E58</f>
        <v>5505.2039999999997</v>
      </c>
      <c r="J28">
        <v>0</v>
      </c>
      <c r="K28">
        <f>ROUND(2240.49*1.75+960.21*1.65,9)</f>
        <v>5505.2039999999997</v>
      </c>
      <c r="O28">
        <f t="shared" si="14"/>
        <v>116807</v>
      </c>
      <c r="P28">
        <f t="shared" si="15"/>
        <v>0</v>
      </c>
      <c r="Q28">
        <f t="shared" si="16"/>
        <v>116807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3"/>
        <v>0</v>
      </c>
      <c r="AA28">
        <v>62803416</v>
      </c>
      <c r="AB28">
        <f t="shared" si="24"/>
        <v>2.98</v>
      </c>
      <c r="AC28">
        <f>ROUND((ES28),2)</f>
        <v>0</v>
      </c>
      <c r="AD28">
        <f>ROUND(((ET28)+ROUND(((EU28)*1.85),2)),2)</f>
        <v>2.98</v>
      </c>
      <c r="AE28">
        <f>ROUND(((EU28)+ROUND(((EU28)*1.85),2)),2)</f>
        <v>0</v>
      </c>
      <c r="AF28">
        <f>ROUND(((EV28)+ROUND(((EV28)*1.85),2)),2)</f>
        <v>0</v>
      </c>
      <c r="AG28">
        <f t="shared" si="25"/>
        <v>0</v>
      </c>
      <c r="AH28">
        <f t="shared" si="26"/>
        <v>0</v>
      </c>
      <c r="AI28">
        <f t="shared" si="26"/>
        <v>0</v>
      </c>
      <c r="AJ28">
        <f t="shared" si="27"/>
        <v>0</v>
      </c>
      <c r="AK28" s="77">
        <f>AL28+AM28+AO28</f>
        <v>2.98</v>
      </c>
      <c r="AL28">
        <v>0</v>
      </c>
      <c r="AM28" s="77">
        <f>'2.Лок.смета.и.Акт в ЕР'!F60</f>
        <v>2.98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f>'2.Лок.смета.и.Акт в ЕР'!J60</f>
        <v>7.12</v>
      </c>
      <c r="BC28">
        <v>1</v>
      </c>
      <c r="BD28" t="s">
        <v>6</v>
      </c>
      <c r="BE28" t="s">
        <v>6</v>
      </c>
      <c r="BF28" t="s">
        <v>6</v>
      </c>
      <c r="BG28" t="s">
        <v>6</v>
      </c>
      <c r="BH28">
        <v>0</v>
      </c>
      <c r="BI28">
        <v>1</v>
      </c>
      <c r="BJ28" t="s">
        <v>29</v>
      </c>
      <c r="BM28">
        <v>700001</v>
      </c>
      <c r="BN28">
        <v>0</v>
      </c>
      <c r="BO28" t="s">
        <v>6</v>
      </c>
      <c r="BP28">
        <v>0</v>
      </c>
      <c r="BQ28">
        <v>43</v>
      </c>
      <c r="BR28">
        <v>0</v>
      </c>
      <c r="BS28">
        <v>18.329999999999998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6</v>
      </c>
      <c r="BZ28">
        <v>0</v>
      </c>
      <c r="CA28">
        <v>0</v>
      </c>
      <c r="CB28" t="s">
        <v>6</v>
      </c>
      <c r="CE28">
        <v>0</v>
      </c>
      <c r="CF28">
        <v>0</v>
      </c>
      <c r="CG28">
        <v>0</v>
      </c>
      <c r="CM28">
        <v>0</v>
      </c>
      <c r="CN28" t="s">
        <v>6</v>
      </c>
      <c r="CO28">
        <v>0</v>
      </c>
      <c r="CP28">
        <f t="shared" si="28"/>
        <v>116807</v>
      </c>
      <c r="CQ28">
        <f t="shared" si="29"/>
        <v>0</v>
      </c>
      <c r="CR28">
        <f t="shared" si="30"/>
        <v>21.217600000000001</v>
      </c>
      <c r="CS28">
        <f t="shared" si="31"/>
        <v>0</v>
      </c>
      <c r="CT28">
        <f t="shared" si="32"/>
        <v>0</v>
      </c>
      <c r="CU28">
        <f t="shared" si="33"/>
        <v>0</v>
      </c>
      <c r="CV28">
        <f t="shared" si="33"/>
        <v>0</v>
      </c>
      <c r="CW28">
        <f t="shared" si="33"/>
        <v>0</v>
      </c>
      <c r="CX28">
        <f t="shared" si="33"/>
        <v>0</v>
      </c>
      <c r="CY28">
        <f>(S28+R28)*(BZ28/100)</f>
        <v>0</v>
      </c>
      <c r="CZ28">
        <f>(S28+R28)*(CA28/100)</f>
        <v>0</v>
      </c>
      <c r="DC28" t="s">
        <v>6</v>
      </c>
      <c r="DD28" t="s">
        <v>6</v>
      </c>
      <c r="DE28" t="s">
        <v>6</v>
      </c>
      <c r="DF28" t="s">
        <v>6</v>
      </c>
      <c r="DG28" t="s">
        <v>6</v>
      </c>
      <c r="DH28" t="s">
        <v>6</v>
      </c>
      <c r="DI28" t="s">
        <v>6</v>
      </c>
      <c r="DJ28" t="s">
        <v>6</v>
      </c>
      <c r="DK28" t="s">
        <v>6</v>
      </c>
      <c r="DL28" t="s">
        <v>6</v>
      </c>
      <c r="DM28" t="s">
        <v>6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28</v>
      </c>
      <c r="DW28" t="str">
        <f>'2.Лок.смета.и.Акт в ЕР'!D58</f>
        <v>1 Т ГРУЗА</v>
      </c>
      <c r="DX28">
        <v>1</v>
      </c>
      <c r="DZ28" t="s">
        <v>6</v>
      </c>
      <c r="EA28" t="s">
        <v>6</v>
      </c>
      <c r="EB28" t="s">
        <v>6</v>
      </c>
      <c r="EC28" t="s">
        <v>6</v>
      </c>
      <c r="EE28">
        <v>53008220</v>
      </c>
      <c r="EF28">
        <v>43</v>
      </c>
      <c r="EG28" t="s">
        <v>30</v>
      </c>
      <c r="EH28">
        <v>0</v>
      </c>
      <c r="EI28" t="s">
        <v>6</v>
      </c>
      <c r="EJ28">
        <v>1</v>
      </c>
      <c r="EK28">
        <v>700001</v>
      </c>
      <c r="EL28" t="s">
        <v>31</v>
      </c>
      <c r="EM28" t="s">
        <v>32</v>
      </c>
      <c r="EO28" t="s">
        <v>6</v>
      </c>
      <c r="EQ28">
        <v>131072</v>
      </c>
      <c r="ER28" s="77">
        <f>ES28+ET28+EV28</f>
        <v>2.98</v>
      </c>
      <c r="ES28">
        <v>0</v>
      </c>
      <c r="ET28" s="77">
        <f>'2.Лок.смета.и.Акт в ЕР'!F60</f>
        <v>2.98</v>
      </c>
      <c r="EU28">
        <v>0</v>
      </c>
      <c r="EV28">
        <v>0</v>
      </c>
      <c r="EW28">
        <v>0</v>
      </c>
      <c r="EX28">
        <v>0</v>
      </c>
      <c r="EY28">
        <v>0</v>
      </c>
      <c r="FQ28">
        <v>0</v>
      </c>
      <c r="FR28">
        <f t="shared" si="34"/>
        <v>0</v>
      </c>
      <c r="FS28">
        <v>0</v>
      </c>
      <c r="FX28">
        <v>0</v>
      </c>
      <c r="FY28">
        <v>0</v>
      </c>
      <c r="GA28" t="s">
        <v>6</v>
      </c>
      <c r="GD28">
        <v>1</v>
      </c>
      <c r="GF28">
        <v>-1610609934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35"/>
        <v>0</v>
      </c>
      <c r="GM28">
        <f t="shared" si="36"/>
        <v>116807</v>
      </c>
      <c r="GN28">
        <f t="shared" si="37"/>
        <v>116807</v>
      </c>
      <c r="GO28">
        <f t="shared" si="38"/>
        <v>0</v>
      </c>
      <c r="GP28">
        <f t="shared" si="39"/>
        <v>0</v>
      </c>
      <c r="GR28">
        <v>0</v>
      </c>
      <c r="GS28">
        <v>3</v>
      </c>
      <c r="GT28">
        <v>0</v>
      </c>
      <c r="GU28" t="s">
        <v>6</v>
      </c>
      <c r="GV28">
        <f t="shared" si="40"/>
        <v>0</v>
      </c>
      <c r="GW28">
        <v>1018</v>
      </c>
      <c r="GX28">
        <f t="shared" si="41"/>
        <v>0</v>
      </c>
      <c r="HA28">
        <v>0</v>
      </c>
      <c r="HB28">
        <v>0</v>
      </c>
      <c r="HC28">
        <f t="shared" si="42"/>
        <v>0</v>
      </c>
      <c r="HD28">
        <f>GM28</f>
        <v>116807</v>
      </c>
      <c r="HE28" t="s">
        <v>6</v>
      </c>
      <c r="HF28" t="s">
        <v>6</v>
      </c>
      <c r="HM28" t="s">
        <v>6</v>
      </c>
      <c r="HN28" t="s">
        <v>6</v>
      </c>
      <c r="HO28" t="s">
        <v>6</v>
      </c>
      <c r="HP28" t="s">
        <v>6</v>
      </c>
      <c r="HQ28" t="s">
        <v>6</v>
      </c>
      <c r="IF28">
        <v>-1</v>
      </c>
      <c r="IK28">
        <v>0</v>
      </c>
      <c r="IL28" t="s">
        <v>208</v>
      </c>
      <c r="IM28">
        <v>5505.2039999999997</v>
      </c>
    </row>
    <row r="29" spans="1:255" x14ac:dyDescent="0.2">
      <c r="A29" s="2">
        <v>17</v>
      </c>
      <c r="B29" s="2">
        <v>1</v>
      </c>
      <c r="C29" s="2">
        <f>ROW(SmtRes!A10)</f>
        <v>10</v>
      </c>
      <c r="D29" s="2">
        <f>ROW(EtalonRes!A11)</f>
        <v>11</v>
      </c>
      <c r="E29" s="2" t="s">
        <v>33</v>
      </c>
      <c r="F29" s="2" t="s">
        <v>34</v>
      </c>
      <c r="G29" s="2" t="s">
        <v>35</v>
      </c>
      <c r="H29" s="2" t="s">
        <v>20</v>
      </c>
      <c r="I29" s="2">
        <f>'2.Лок.смета.и.Акт в ЕР'!E63</f>
        <v>3.2006999999999999</v>
      </c>
      <c r="J29" s="2">
        <v>0</v>
      </c>
      <c r="K29" s="2">
        <f>ROUND(I25,9)</f>
        <v>3.2006999999999999</v>
      </c>
      <c r="L29" s="2"/>
      <c r="M29" s="2"/>
      <c r="N29" s="2"/>
      <c r="O29" s="2">
        <f t="shared" si="14"/>
        <v>1250</v>
      </c>
      <c r="P29" s="2">
        <f t="shared" si="15"/>
        <v>0</v>
      </c>
      <c r="Q29" s="2">
        <f t="shared" si="16"/>
        <v>1158</v>
      </c>
      <c r="R29" s="2">
        <f t="shared" si="17"/>
        <v>173</v>
      </c>
      <c r="S29" s="2">
        <f t="shared" si="18"/>
        <v>92</v>
      </c>
      <c r="T29" s="2">
        <f t="shared" si="19"/>
        <v>0</v>
      </c>
      <c r="U29" s="2">
        <f t="shared" si="20"/>
        <v>11.682554999999999</v>
      </c>
      <c r="V29" s="2">
        <f t="shared" si="21"/>
        <v>12.706779000000001</v>
      </c>
      <c r="W29" s="2">
        <f t="shared" si="22"/>
        <v>0</v>
      </c>
      <c r="X29" s="2">
        <f t="shared" si="23"/>
        <v>252</v>
      </c>
      <c r="Y29" s="2">
        <f t="shared" si="23"/>
        <v>133</v>
      </c>
      <c r="Z29" s="2"/>
      <c r="AA29" s="2">
        <v>62803415</v>
      </c>
      <c r="AB29" s="2">
        <f t="shared" si="24"/>
        <v>390.48</v>
      </c>
      <c r="AC29" s="2">
        <f>ROUND((ES29+(SUM(SmtRes!BC7:'SmtRes'!BC10)+SUM(EtalonRes!AL7:'EtalonRes'!AL11))),2)</f>
        <v>0</v>
      </c>
      <c r="AD29" s="2">
        <f>ROUND((((ET29)-(EU29))+AE29),2)</f>
        <v>361.75</v>
      </c>
      <c r="AE29" s="2">
        <f>ROUND((EU29),2)</f>
        <v>54.03</v>
      </c>
      <c r="AF29" s="2">
        <f>ROUND((EV29),2)</f>
        <v>28.73</v>
      </c>
      <c r="AG29" s="2">
        <f t="shared" si="25"/>
        <v>0</v>
      </c>
      <c r="AH29" s="2">
        <f t="shared" si="26"/>
        <v>3.65</v>
      </c>
      <c r="AI29" s="2">
        <f t="shared" si="26"/>
        <v>3.97</v>
      </c>
      <c r="AJ29" s="2">
        <f t="shared" si="27"/>
        <v>0</v>
      </c>
      <c r="AK29" s="2">
        <v>394.84</v>
      </c>
      <c r="AL29" s="2">
        <v>4.3600000000000003</v>
      </c>
      <c r="AM29" s="2">
        <v>361.75</v>
      </c>
      <c r="AN29" s="2">
        <v>54.03</v>
      </c>
      <c r="AO29" s="2">
        <v>28.73</v>
      </c>
      <c r="AP29" s="2">
        <v>0</v>
      </c>
      <c r="AQ29" s="2">
        <v>3.65</v>
      </c>
      <c r="AR29" s="2">
        <v>3.97</v>
      </c>
      <c r="AS29" s="2">
        <v>0</v>
      </c>
      <c r="AT29" s="2">
        <v>95</v>
      </c>
      <c r="AU29" s="2">
        <v>50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6</v>
      </c>
      <c r="BE29" s="2" t="s">
        <v>6</v>
      </c>
      <c r="BF29" s="2" t="s">
        <v>6</v>
      </c>
      <c r="BG29" s="2" t="s">
        <v>6</v>
      </c>
      <c r="BH29" s="2">
        <v>0</v>
      </c>
      <c r="BI29" s="2">
        <v>1</v>
      </c>
      <c r="BJ29" s="2" t="s">
        <v>36</v>
      </c>
      <c r="BK29" s="2"/>
      <c r="BL29" s="2"/>
      <c r="BM29" s="2">
        <v>1001</v>
      </c>
      <c r="BN29" s="2">
        <v>0</v>
      </c>
      <c r="BO29" s="2" t="s">
        <v>6</v>
      </c>
      <c r="BP29" s="2">
        <v>0</v>
      </c>
      <c r="BQ29" s="2">
        <v>1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6</v>
      </c>
      <c r="BZ29" s="2">
        <v>95</v>
      </c>
      <c r="CA29" s="2">
        <v>50</v>
      </c>
      <c r="CB29" s="2" t="s">
        <v>6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6</v>
      </c>
      <c r="CO29" s="2">
        <v>0</v>
      </c>
      <c r="CP29" s="2">
        <f t="shared" si="28"/>
        <v>1250</v>
      </c>
      <c r="CQ29" s="2">
        <f t="shared" si="29"/>
        <v>0</v>
      </c>
      <c r="CR29" s="2">
        <f t="shared" si="30"/>
        <v>361.75</v>
      </c>
      <c r="CS29" s="2">
        <f t="shared" si="31"/>
        <v>54.03</v>
      </c>
      <c r="CT29" s="2">
        <f t="shared" si="32"/>
        <v>28.73</v>
      </c>
      <c r="CU29" s="2">
        <f t="shared" si="33"/>
        <v>0</v>
      </c>
      <c r="CV29" s="2">
        <f t="shared" si="33"/>
        <v>3.65</v>
      </c>
      <c r="CW29" s="2">
        <f t="shared" si="33"/>
        <v>3.97</v>
      </c>
      <c r="CX29" s="2">
        <f t="shared" si="33"/>
        <v>0</v>
      </c>
      <c r="CY29" s="2">
        <f>(((S29+(R29*IF(0,0,1)))*AT29)/100)</f>
        <v>251.75</v>
      </c>
      <c r="CZ29" s="2">
        <f>(((S29+(R29*IF(0,0,1)))*AU29)/100)</f>
        <v>132.5</v>
      </c>
      <c r="DA29" s="2"/>
      <c r="DB29" s="2"/>
      <c r="DC29" s="2" t="s">
        <v>6</v>
      </c>
      <c r="DD29" s="2" t="s">
        <v>6</v>
      </c>
      <c r="DE29" s="2" t="s">
        <v>6</v>
      </c>
      <c r="DF29" s="2" t="s">
        <v>6</v>
      </c>
      <c r="DG29" s="2" t="s">
        <v>6</v>
      </c>
      <c r="DH29" s="2" t="s">
        <v>6</v>
      </c>
      <c r="DI29" s="2" t="s">
        <v>6</v>
      </c>
      <c r="DJ29" s="2" t="s">
        <v>6</v>
      </c>
      <c r="DK29" s="2" t="s">
        <v>6</v>
      </c>
      <c r="DL29" s="2" t="s">
        <v>6</v>
      </c>
      <c r="DM29" s="2" t="s">
        <v>6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1007</v>
      </c>
      <c r="DV29" s="2" t="s">
        <v>20</v>
      </c>
      <c r="DW29" s="2" t="s">
        <v>20</v>
      </c>
      <c r="DX29" s="2">
        <v>1000</v>
      </c>
      <c r="DY29" s="2"/>
      <c r="DZ29" s="2" t="s">
        <v>6</v>
      </c>
      <c r="EA29" s="2" t="s">
        <v>6</v>
      </c>
      <c r="EB29" s="2" t="s">
        <v>6</v>
      </c>
      <c r="EC29" s="2" t="s">
        <v>6</v>
      </c>
      <c r="ED29" s="2"/>
      <c r="EE29" s="2">
        <v>53008004</v>
      </c>
      <c r="EF29" s="2">
        <v>1</v>
      </c>
      <c r="EG29" s="2" t="s">
        <v>22</v>
      </c>
      <c r="EH29" s="2">
        <v>0</v>
      </c>
      <c r="EI29" s="2" t="s">
        <v>6</v>
      </c>
      <c r="EJ29" s="2">
        <v>1</v>
      </c>
      <c r="EK29" s="2">
        <v>1001</v>
      </c>
      <c r="EL29" s="2" t="s">
        <v>23</v>
      </c>
      <c r="EM29" s="2" t="s">
        <v>24</v>
      </c>
      <c r="EN29" s="2"/>
      <c r="EO29" s="2" t="s">
        <v>6</v>
      </c>
      <c r="EP29" s="2"/>
      <c r="EQ29" s="2">
        <v>131072</v>
      </c>
      <c r="ER29" s="2">
        <v>394.84</v>
      </c>
      <c r="ES29" s="2">
        <v>4.3600000000000003</v>
      </c>
      <c r="ET29" s="2">
        <v>361.75</v>
      </c>
      <c r="EU29" s="2">
        <v>54.03</v>
      </c>
      <c r="EV29" s="2">
        <v>28.73</v>
      </c>
      <c r="EW29" s="2">
        <v>3.65</v>
      </c>
      <c r="EX29" s="2">
        <v>3.97</v>
      </c>
      <c r="EY29" s="2">
        <v>1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f t="shared" si="34"/>
        <v>0</v>
      </c>
      <c r="FS29" s="2">
        <v>0</v>
      </c>
      <c r="FT29" s="2"/>
      <c r="FU29" s="2"/>
      <c r="FV29" s="2"/>
      <c r="FW29" s="2"/>
      <c r="FX29" s="2">
        <v>95</v>
      </c>
      <c r="FY29" s="2">
        <v>50</v>
      </c>
      <c r="FZ29" s="2"/>
      <c r="GA29" s="2" t="s">
        <v>6</v>
      </c>
      <c r="GB29" s="2"/>
      <c r="GC29" s="2"/>
      <c r="GD29" s="2">
        <v>1</v>
      </c>
      <c r="GE29" s="2"/>
      <c r="GF29" s="2">
        <v>-2119245907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 t="shared" si="35"/>
        <v>0</v>
      </c>
      <c r="GM29" s="2">
        <f t="shared" si="36"/>
        <v>1635</v>
      </c>
      <c r="GN29" s="2">
        <f t="shared" si="37"/>
        <v>1635</v>
      </c>
      <c r="GO29" s="2">
        <f t="shared" si="38"/>
        <v>0</v>
      </c>
      <c r="GP29" s="2">
        <f t="shared" si="39"/>
        <v>0</v>
      </c>
      <c r="GQ29" s="2"/>
      <c r="GR29" s="2">
        <v>0</v>
      </c>
      <c r="GS29" s="2">
        <v>3</v>
      </c>
      <c r="GT29" s="2">
        <v>0</v>
      </c>
      <c r="GU29" s="2" t="s">
        <v>6</v>
      </c>
      <c r="GV29" s="2">
        <f t="shared" si="40"/>
        <v>0</v>
      </c>
      <c r="GW29" s="2">
        <v>1</v>
      </c>
      <c r="GX29" s="2">
        <f t="shared" si="41"/>
        <v>0</v>
      </c>
      <c r="GY29" s="2"/>
      <c r="GZ29" s="2"/>
      <c r="HA29" s="2">
        <v>0</v>
      </c>
      <c r="HB29" s="2">
        <v>0</v>
      </c>
      <c r="HC29" s="2">
        <f t="shared" si="42"/>
        <v>0</v>
      </c>
      <c r="HD29" s="2"/>
      <c r="HE29" s="2" t="s">
        <v>6</v>
      </c>
      <c r="HF29" s="2" t="s">
        <v>6</v>
      </c>
      <c r="HG29" s="2"/>
      <c r="HH29" s="2"/>
      <c r="HI29" s="2"/>
      <c r="HJ29" s="2"/>
      <c r="HK29" s="2"/>
      <c r="HL29" s="2"/>
      <c r="HM29" s="2" t="s">
        <v>6</v>
      </c>
      <c r="HN29" s="2" t="s">
        <v>6</v>
      </c>
      <c r="HO29" s="2" t="s">
        <v>6</v>
      </c>
      <c r="HP29" s="2" t="s">
        <v>6</v>
      </c>
      <c r="HQ29" s="2" t="s">
        <v>6</v>
      </c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>
        <v>-1</v>
      </c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>
        <v>17</v>
      </c>
      <c r="B30">
        <v>1</v>
      </c>
      <c r="C30">
        <f>ROW(SmtRes!A14)</f>
        <v>14</v>
      </c>
      <c r="D30">
        <f>ROW(EtalonRes!A16)</f>
        <v>16</v>
      </c>
      <c r="E30" t="s">
        <v>33</v>
      </c>
      <c r="F30" t="s">
        <v>34</v>
      </c>
      <c r="G30" t="s">
        <v>35</v>
      </c>
      <c r="H30" t="s">
        <v>20</v>
      </c>
      <c r="I30">
        <f>'2.Лок.смета.и.Акт в ЕР'!E63</f>
        <v>3.2006999999999999</v>
      </c>
      <c r="J30">
        <v>0</v>
      </c>
      <c r="K30">
        <f>ROUND(I26,9)</f>
        <v>3.2006999999999999</v>
      </c>
      <c r="O30">
        <f t="shared" si="14"/>
        <v>9751</v>
      </c>
      <c r="P30">
        <f t="shared" si="15"/>
        <v>0</v>
      </c>
      <c r="Q30">
        <f t="shared" si="16"/>
        <v>7422</v>
      </c>
      <c r="R30">
        <f t="shared" si="17"/>
        <v>3170</v>
      </c>
      <c r="S30">
        <f t="shared" si="18"/>
        <v>2329</v>
      </c>
      <c r="T30">
        <f t="shared" si="19"/>
        <v>0</v>
      </c>
      <c r="U30">
        <f t="shared" si="20"/>
        <v>11.682554999999999</v>
      </c>
      <c r="V30">
        <f t="shared" si="21"/>
        <v>12.706779000000001</v>
      </c>
      <c r="W30">
        <f t="shared" si="22"/>
        <v>0</v>
      </c>
      <c r="X30">
        <f t="shared" si="23"/>
        <v>4949</v>
      </c>
      <c r="Y30">
        <f t="shared" si="23"/>
        <v>2365</v>
      </c>
      <c r="AA30">
        <v>62803416</v>
      </c>
      <c r="AB30">
        <f t="shared" si="24"/>
        <v>390.48</v>
      </c>
      <c r="AC30">
        <f>ROUND((ES30+(SUM(SmtRes!BC11:'SmtRes'!BC14)+SUM(EtalonRes!AL12:'EtalonRes'!AL16))),2)</f>
        <v>0</v>
      </c>
      <c r="AD30">
        <f>ROUND((((ET30)-(EU30))+AE30),2)</f>
        <v>361.75</v>
      </c>
      <c r="AE30">
        <f>ROUND((EU30),2)</f>
        <v>54.03</v>
      </c>
      <c r="AF30">
        <f>ROUND((EV30),2)</f>
        <v>28.73</v>
      </c>
      <c r="AG30">
        <f t="shared" si="25"/>
        <v>0</v>
      </c>
      <c r="AH30">
        <f t="shared" si="26"/>
        <v>3.65</v>
      </c>
      <c r="AI30">
        <f t="shared" si="26"/>
        <v>3.97</v>
      </c>
      <c r="AJ30">
        <f t="shared" si="27"/>
        <v>0</v>
      </c>
      <c r="AK30" s="77">
        <f>AL30+AM30+AO30</f>
        <v>394.84000000000003</v>
      </c>
      <c r="AL30">
        <v>4.3600000000000003</v>
      </c>
      <c r="AM30" s="77">
        <f>'2.Лок.смета.и.Акт в ЕР'!F65</f>
        <v>361.75</v>
      </c>
      <c r="AN30" s="77">
        <f>'2.Лок.смета.и.Акт в ЕР'!F66</f>
        <v>54.03</v>
      </c>
      <c r="AO30" s="77">
        <f>'2.Лок.смета.и.Акт в ЕР'!F64</f>
        <v>28.73</v>
      </c>
      <c r="AP30">
        <v>0</v>
      </c>
      <c r="AQ30">
        <f>'2.Лок.смета.и.Акт в ЕР'!E69</f>
        <v>3.65</v>
      </c>
      <c r="AR30">
        <v>3.97</v>
      </c>
      <c r="AS30">
        <v>0</v>
      </c>
      <c r="AT30">
        <v>90</v>
      </c>
      <c r="AU30">
        <v>43</v>
      </c>
      <c r="AV30">
        <v>1</v>
      </c>
      <c r="AW30">
        <v>1</v>
      </c>
      <c r="AZ30">
        <v>1</v>
      </c>
      <c r="BA30">
        <f>'2.Лок.смета.и.Акт в ЕР'!J64</f>
        <v>25.33</v>
      </c>
      <c r="BB30">
        <f>'2.Лок.смета.и.Акт в ЕР'!J65</f>
        <v>6.41</v>
      </c>
      <c r="BC30">
        <v>7.56</v>
      </c>
      <c r="BD30" t="s">
        <v>6</v>
      </c>
      <c r="BE30" t="s">
        <v>6</v>
      </c>
      <c r="BF30" t="s">
        <v>6</v>
      </c>
      <c r="BG30" t="s">
        <v>6</v>
      </c>
      <c r="BH30">
        <v>0</v>
      </c>
      <c r="BI30">
        <v>1</v>
      </c>
      <c r="BJ30" t="s">
        <v>36</v>
      </c>
      <c r="BM30">
        <v>1001</v>
      </c>
      <c r="BN30">
        <v>0</v>
      </c>
      <c r="BO30" t="s">
        <v>34</v>
      </c>
      <c r="BP30">
        <v>1</v>
      </c>
      <c r="BQ30">
        <v>1</v>
      </c>
      <c r="BR30">
        <v>0</v>
      </c>
      <c r="BS30">
        <f>'2.Лок.смета.и.Акт в ЕР'!J66</f>
        <v>18.329999999999998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6</v>
      </c>
      <c r="BZ30">
        <v>90</v>
      </c>
      <c r="CA30">
        <v>43</v>
      </c>
      <c r="CB30" t="s">
        <v>6</v>
      </c>
      <c r="CE30">
        <v>0</v>
      </c>
      <c r="CF30">
        <v>0</v>
      </c>
      <c r="CG30">
        <v>0</v>
      </c>
      <c r="CM30">
        <v>0</v>
      </c>
      <c r="CN30" t="s">
        <v>6</v>
      </c>
      <c r="CO30">
        <v>0</v>
      </c>
      <c r="CP30">
        <f t="shared" si="28"/>
        <v>9751</v>
      </c>
      <c r="CQ30">
        <f t="shared" si="29"/>
        <v>0</v>
      </c>
      <c r="CR30">
        <f t="shared" si="30"/>
        <v>2318.8175000000001</v>
      </c>
      <c r="CS30">
        <f t="shared" si="31"/>
        <v>990.36989999999992</v>
      </c>
      <c r="CT30">
        <f t="shared" si="32"/>
        <v>727.73089999999991</v>
      </c>
      <c r="CU30">
        <f t="shared" si="33"/>
        <v>0</v>
      </c>
      <c r="CV30">
        <f t="shared" si="33"/>
        <v>3.65</v>
      </c>
      <c r="CW30">
        <f t="shared" si="33"/>
        <v>3.97</v>
      </c>
      <c r="CX30">
        <f t="shared" si="33"/>
        <v>0</v>
      </c>
      <c r="CY30">
        <f>(S30+R30)*(BZ30/100)</f>
        <v>4949.1000000000004</v>
      </c>
      <c r="CZ30">
        <f>(S30+R30)*(CA30/100)</f>
        <v>2364.5700000000002</v>
      </c>
      <c r="DC30" t="s">
        <v>6</v>
      </c>
      <c r="DD30" t="s">
        <v>6</v>
      </c>
      <c r="DE30" t="s">
        <v>6</v>
      </c>
      <c r="DF30" t="s">
        <v>6</v>
      </c>
      <c r="DG30" t="s">
        <v>6</v>
      </c>
      <c r="DH30" t="s">
        <v>6</v>
      </c>
      <c r="DI30" t="s">
        <v>6</v>
      </c>
      <c r="DJ30" t="s">
        <v>6</v>
      </c>
      <c r="DK30" t="s">
        <v>6</v>
      </c>
      <c r="DL30" t="s">
        <v>6</v>
      </c>
      <c r="DM30" t="s">
        <v>6</v>
      </c>
      <c r="DN30">
        <f>'2.Лок.смета.и.Акт в ЕР'!E67</f>
        <v>95</v>
      </c>
      <c r="DO30">
        <f>'2.Лок.смета.и.Акт в ЕР'!E68</f>
        <v>50</v>
      </c>
      <c r="DP30">
        <v>1</v>
      </c>
      <c r="DQ30">
        <v>1</v>
      </c>
      <c r="DU30">
        <v>1007</v>
      </c>
      <c r="DV30" t="s">
        <v>20</v>
      </c>
      <c r="DW30" t="str">
        <f>'2.Лок.смета.и.Акт в ЕР'!D63</f>
        <v>1000 м3 грунта</v>
      </c>
      <c r="DX30">
        <v>1000</v>
      </c>
      <c r="DZ30" t="s">
        <v>6</v>
      </c>
      <c r="EA30" t="s">
        <v>6</v>
      </c>
      <c r="EB30" t="s">
        <v>6</v>
      </c>
      <c r="EC30" t="s">
        <v>6</v>
      </c>
      <c r="EE30">
        <v>53008004</v>
      </c>
      <c r="EF30">
        <v>1</v>
      </c>
      <c r="EG30" t="s">
        <v>22</v>
      </c>
      <c r="EH30">
        <v>0</v>
      </c>
      <c r="EI30" t="s">
        <v>6</v>
      </c>
      <c r="EJ30">
        <v>1</v>
      </c>
      <c r="EK30">
        <v>1001</v>
      </c>
      <c r="EL30" t="s">
        <v>23</v>
      </c>
      <c r="EM30" t="s">
        <v>24</v>
      </c>
      <c r="EO30" t="s">
        <v>6</v>
      </c>
      <c r="EQ30">
        <v>131072</v>
      </c>
      <c r="ER30" s="77">
        <f>ES30+ET30+EV30</f>
        <v>394.84000000000003</v>
      </c>
      <c r="ES30">
        <v>4.3600000000000003</v>
      </c>
      <c r="ET30" s="77">
        <f>'2.Лок.смета.и.Акт в ЕР'!F65</f>
        <v>361.75</v>
      </c>
      <c r="EU30" s="77">
        <f>'2.Лок.смета.и.Акт в ЕР'!F66</f>
        <v>54.03</v>
      </c>
      <c r="EV30" s="77">
        <f>'2.Лок.смета.и.Акт в ЕР'!F64</f>
        <v>28.73</v>
      </c>
      <c r="EW30">
        <f>'2.Лок.смета.и.Акт в ЕР'!E69</f>
        <v>3.65</v>
      </c>
      <c r="EX30">
        <v>3.97</v>
      </c>
      <c r="EY30">
        <v>1</v>
      </c>
      <c r="FQ30">
        <v>0</v>
      </c>
      <c r="FR30">
        <f t="shared" si="34"/>
        <v>0</v>
      </c>
      <c r="FS30">
        <v>0</v>
      </c>
      <c r="FX30">
        <v>95</v>
      </c>
      <c r="FY30">
        <v>50</v>
      </c>
      <c r="GA30" t="s">
        <v>6</v>
      </c>
      <c r="GD30">
        <v>1</v>
      </c>
      <c r="GF30">
        <v>-2119245907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35"/>
        <v>0</v>
      </c>
      <c r="GM30">
        <f t="shared" si="36"/>
        <v>17065</v>
      </c>
      <c r="GN30">
        <f t="shared" si="37"/>
        <v>17065</v>
      </c>
      <c r="GO30">
        <f t="shared" si="38"/>
        <v>0</v>
      </c>
      <c r="GP30">
        <f t="shared" si="39"/>
        <v>0</v>
      </c>
      <c r="GR30">
        <v>0</v>
      </c>
      <c r="GS30">
        <v>3</v>
      </c>
      <c r="GT30">
        <v>0</v>
      </c>
      <c r="GU30" t="s">
        <v>6</v>
      </c>
      <c r="GV30">
        <f t="shared" si="40"/>
        <v>0</v>
      </c>
      <c r="GW30">
        <v>1010.1</v>
      </c>
      <c r="GX30">
        <f t="shared" si="41"/>
        <v>0</v>
      </c>
      <c r="HA30">
        <v>0</v>
      </c>
      <c r="HB30">
        <v>0</v>
      </c>
      <c r="HC30">
        <f t="shared" si="42"/>
        <v>0</v>
      </c>
      <c r="HE30" t="s">
        <v>6</v>
      </c>
      <c r="HF30" t="s">
        <v>6</v>
      </c>
      <c r="HM30" t="s">
        <v>6</v>
      </c>
      <c r="HN30" t="s">
        <v>6</v>
      </c>
      <c r="HO30" t="s">
        <v>6</v>
      </c>
      <c r="HP30" t="s">
        <v>6</v>
      </c>
      <c r="HQ30" t="s">
        <v>6</v>
      </c>
      <c r="IF30">
        <v>-1</v>
      </c>
      <c r="IK30">
        <v>0</v>
      </c>
    </row>
    <row r="31" spans="1:255" x14ac:dyDescent="0.2">
      <c r="A31" s="2">
        <v>17</v>
      </c>
      <c r="B31" s="2">
        <v>1</v>
      </c>
      <c r="C31" s="2">
        <f>ROW(SmtRes!A15)</f>
        <v>15</v>
      </c>
      <c r="D31" s="2">
        <f>ROW(EtalonRes!A17)</f>
        <v>17</v>
      </c>
      <c r="E31" s="2" t="s">
        <v>37</v>
      </c>
      <c r="F31" s="2" t="s">
        <v>38</v>
      </c>
      <c r="G31" s="2" t="s">
        <v>39</v>
      </c>
      <c r="H31" s="2" t="s">
        <v>40</v>
      </c>
      <c r="I31" s="2">
        <f>'2.Лок.смета.и.Акт в ЕР'!E72</f>
        <v>1.4420999999999999</v>
      </c>
      <c r="J31" s="2">
        <v>0</v>
      </c>
      <c r="K31" s="2">
        <f>ROUND(144.21/100,9)</f>
        <v>1.4420999999999999</v>
      </c>
      <c r="L31" s="2"/>
      <c r="M31" s="2"/>
      <c r="N31" s="2"/>
      <c r="O31" s="2">
        <f t="shared" si="14"/>
        <v>2097</v>
      </c>
      <c r="P31" s="2">
        <f t="shared" si="15"/>
        <v>0</v>
      </c>
      <c r="Q31" s="2">
        <f t="shared" si="16"/>
        <v>0</v>
      </c>
      <c r="R31" s="2">
        <f t="shared" si="17"/>
        <v>0</v>
      </c>
      <c r="S31" s="2">
        <f t="shared" si="18"/>
        <v>2097</v>
      </c>
      <c r="T31" s="2">
        <f t="shared" si="19"/>
        <v>0</v>
      </c>
      <c r="U31" s="2">
        <f t="shared" si="20"/>
        <v>266.50007999999997</v>
      </c>
      <c r="V31" s="2">
        <f t="shared" si="21"/>
        <v>0</v>
      </c>
      <c r="W31" s="2">
        <f t="shared" si="22"/>
        <v>0</v>
      </c>
      <c r="X31" s="2">
        <f t="shared" si="23"/>
        <v>1678</v>
      </c>
      <c r="Y31" s="2">
        <f t="shared" si="23"/>
        <v>944</v>
      </c>
      <c r="Z31" s="2"/>
      <c r="AA31" s="2">
        <v>62803415</v>
      </c>
      <c r="AB31" s="2">
        <f t="shared" si="24"/>
        <v>1454.38</v>
      </c>
      <c r="AC31" s="2">
        <f>ROUND((ES31),2)</f>
        <v>0</v>
      </c>
      <c r="AD31" s="2">
        <f>ROUND((((ET31)-(EU31))+AE31),2)</f>
        <v>0</v>
      </c>
      <c r="AE31" s="2">
        <f>ROUND((EU31),2)</f>
        <v>0</v>
      </c>
      <c r="AF31" s="2">
        <f>ROUND(((EV31*1.2)),2)</f>
        <v>1454.38</v>
      </c>
      <c r="AG31" s="2">
        <f t="shared" si="25"/>
        <v>0</v>
      </c>
      <c r="AH31" s="2">
        <f>((EW31*1.2))</f>
        <v>184.79999999999998</v>
      </c>
      <c r="AI31" s="2">
        <f>(EX31)</f>
        <v>0</v>
      </c>
      <c r="AJ31" s="2">
        <f t="shared" si="27"/>
        <v>0</v>
      </c>
      <c r="AK31" s="2">
        <v>1211.98</v>
      </c>
      <c r="AL31" s="2">
        <v>0</v>
      </c>
      <c r="AM31" s="2">
        <v>0</v>
      </c>
      <c r="AN31" s="2">
        <v>0</v>
      </c>
      <c r="AO31" s="2">
        <v>1211.98</v>
      </c>
      <c r="AP31" s="2">
        <v>0</v>
      </c>
      <c r="AQ31" s="2">
        <v>154</v>
      </c>
      <c r="AR31" s="2">
        <v>0</v>
      </c>
      <c r="AS31" s="2">
        <v>0</v>
      </c>
      <c r="AT31" s="2">
        <v>80</v>
      </c>
      <c r="AU31" s="2">
        <v>45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6</v>
      </c>
      <c r="BE31" s="2" t="s">
        <v>6</v>
      </c>
      <c r="BF31" s="2" t="s">
        <v>6</v>
      </c>
      <c r="BG31" s="2" t="s">
        <v>6</v>
      </c>
      <c r="BH31" s="2">
        <v>0</v>
      </c>
      <c r="BI31" s="2">
        <v>1</v>
      </c>
      <c r="BJ31" s="2" t="s">
        <v>41</v>
      </c>
      <c r="BK31" s="2"/>
      <c r="BL31" s="2"/>
      <c r="BM31" s="2">
        <v>1003</v>
      </c>
      <c r="BN31" s="2">
        <v>0</v>
      </c>
      <c r="BO31" s="2" t="s">
        <v>6</v>
      </c>
      <c r="BP31" s="2">
        <v>0</v>
      </c>
      <c r="BQ31" s="2">
        <v>1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6</v>
      </c>
      <c r="BZ31" s="2">
        <v>80</v>
      </c>
      <c r="CA31" s="2">
        <v>45</v>
      </c>
      <c r="CB31" s="2" t="s">
        <v>6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42</v>
      </c>
      <c r="CO31" s="2">
        <v>0</v>
      </c>
      <c r="CP31" s="2">
        <f t="shared" si="28"/>
        <v>2097</v>
      </c>
      <c r="CQ31" s="2">
        <f t="shared" si="29"/>
        <v>0</v>
      </c>
      <c r="CR31" s="2">
        <f t="shared" si="30"/>
        <v>0</v>
      </c>
      <c r="CS31" s="2">
        <f t="shared" si="31"/>
        <v>0</v>
      </c>
      <c r="CT31" s="2">
        <f t="shared" si="32"/>
        <v>1454.38</v>
      </c>
      <c r="CU31" s="2">
        <f t="shared" si="33"/>
        <v>0</v>
      </c>
      <c r="CV31" s="2">
        <f t="shared" si="33"/>
        <v>184.79999999999998</v>
      </c>
      <c r="CW31" s="2">
        <f t="shared" si="33"/>
        <v>0</v>
      </c>
      <c r="CX31" s="2">
        <f t="shared" si="33"/>
        <v>0</v>
      </c>
      <c r="CY31" s="2">
        <f>(((S31+(R31*IF(0,0,1)))*AT31)/100)</f>
        <v>1677.6</v>
      </c>
      <c r="CZ31" s="2">
        <f>(((S31+(R31*IF(0,0,1)))*AU31)/100)</f>
        <v>943.65</v>
      </c>
      <c r="DA31" s="2"/>
      <c r="DB31" s="2"/>
      <c r="DC31" s="2" t="s">
        <v>6</v>
      </c>
      <c r="DD31" s="2" t="s">
        <v>6</v>
      </c>
      <c r="DE31" s="2" t="s">
        <v>6</v>
      </c>
      <c r="DF31" s="2" t="s">
        <v>6</v>
      </c>
      <c r="DG31" s="2" t="s">
        <v>43</v>
      </c>
      <c r="DH31" s="2" t="s">
        <v>6</v>
      </c>
      <c r="DI31" s="2" t="s">
        <v>43</v>
      </c>
      <c r="DJ31" s="2" t="s">
        <v>6</v>
      </c>
      <c r="DK31" s="2" t="s">
        <v>6</v>
      </c>
      <c r="DL31" s="2" t="s">
        <v>6</v>
      </c>
      <c r="DM31" s="2" t="s">
        <v>6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1013</v>
      </c>
      <c r="DV31" s="2" t="s">
        <v>40</v>
      </c>
      <c r="DW31" s="2" t="s">
        <v>40</v>
      </c>
      <c r="DX31" s="2">
        <v>1</v>
      </c>
      <c r="DY31" s="2"/>
      <c r="DZ31" s="2" t="s">
        <v>6</v>
      </c>
      <c r="EA31" s="2" t="s">
        <v>6</v>
      </c>
      <c r="EB31" s="2" t="s">
        <v>6</v>
      </c>
      <c r="EC31" s="2" t="s">
        <v>6</v>
      </c>
      <c r="ED31" s="2"/>
      <c r="EE31" s="2">
        <v>53008006</v>
      </c>
      <c r="EF31" s="2">
        <v>1</v>
      </c>
      <c r="EG31" s="2" t="s">
        <v>22</v>
      </c>
      <c r="EH31" s="2">
        <v>0</v>
      </c>
      <c r="EI31" s="2" t="s">
        <v>6</v>
      </c>
      <c r="EJ31" s="2">
        <v>1</v>
      </c>
      <c r="EK31" s="2">
        <v>1003</v>
      </c>
      <c r="EL31" s="2" t="s">
        <v>44</v>
      </c>
      <c r="EM31" s="2" t="s">
        <v>24</v>
      </c>
      <c r="EN31" s="2"/>
      <c r="EO31" s="2" t="s">
        <v>45</v>
      </c>
      <c r="EP31" s="2"/>
      <c r="EQ31" s="2">
        <v>131072</v>
      </c>
      <c r="ER31" s="2">
        <v>1211.98</v>
      </c>
      <c r="ES31" s="2">
        <v>0</v>
      </c>
      <c r="ET31" s="2">
        <v>0</v>
      </c>
      <c r="EU31" s="2">
        <v>0</v>
      </c>
      <c r="EV31" s="2">
        <v>1211.98</v>
      </c>
      <c r="EW31" s="2">
        <v>154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 t="shared" si="34"/>
        <v>0</v>
      </c>
      <c r="FS31" s="2">
        <v>0</v>
      </c>
      <c r="FT31" s="2"/>
      <c r="FU31" s="2"/>
      <c r="FV31" s="2"/>
      <c r="FW31" s="2"/>
      <c r="FX31" s="2">
        <v>80</v>
      </c>
      <c r="FY31" s="2">
        <v>45</v>
      </c>
      <c r="FZ31" s="2"/>
      <c r="GA31" s="2" t="s">
        <v>6</v>
      </c>
      <c r="GB31" s="2"/>
      <c r="GC31" s="2"/>
      <c r="GD31" s="2">
        <v>1</v>
      </c>
      <c r="GE31" s="2"/>
      <c r="GF31" s="2">
        <v>2023641234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 t="shared" si="35"/>
        <v>0</v>
      </c>
      <c r="GM31" s="2">
        <f t="shared" si="36"/>
        <v>4719</v>
      </c>
      <c r="GN31" s="2">
        <f t="shared" si="37"/>
        <v>4719</v>
      </c>
      <c r="GO31" s="2">
        <f t="shared" si="38"/>
        <v>0</v>
      </c>
      <c r="GP31" s="2">
        <f t="shared" si="39"/>
        <v>0</v>
      </c>
      <c r="GQ31" s="2"/>
      <c r="GR31" s="2">
        <v>0</v>
      </c>
      <c r="GS31" s="2">
        <v>3</v>
      </c>
      <c r="GT31" s="2">
        <v>0</v>
      </c>
      <c r="GU31" s="2" t="s">
        <v>6</v>
      </c>
      <c r="GV31" s="2">
        <f t="shared" si="40"/>
        <v>0</v>
      </c>
      <c r="GW31" s="2">
        <v>1</v>
      </c>
      <c r="GX31" s="2">
        <f t="shared" si="41"/>
        <v>0</v>
      </c>
      <c r="GY31" s="2"/>
      <c r="GZ31" s="2"/>
      <c r="HA31" s="2">
        <v>0</v>
      </c>
      <c r="HB31" s="2">
        <v>0</v>
      </c>
      <c r="HC31" s="2">
        <f t="shared" si="42"/>
        <v>0</v>
      </c>
      <c r="HD31" s="2"/>
      <c r="HE31" s="2" t="s">
        <v>6</v>
      </c>
      <c r="HF31" s="2" t="s">
        <v>6</v>
      </c>
      <c r="HG31" s="2"/>
      <c r="HH31" s="2"/>
      <c r="HI31" s="2"/>
      <c r="HJ31" s="2"/>
      <c r="HK31" s="2"/>
      <c r="HL31" s="2"/>
      <c r="HM31" s="2" t="s">
        <v>6</v>
      </c>
      <c r="HN31" s="2" t="s">
        <v>6</v>
      </c>
      <c r="HO31" s="2" t="s">
        <v>6</v>
      </c>
      <c r="HP31" s="2" t="s">
        <v>6</v>
      </c>
      <c r="HQ31" s="2" t="s">
        <v>6</v>
      </c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>
        <v>-1</v>
      </c>
      <c r="IG31" s="2"/>
      <c r="IH31" s="2"/>
      <c r="II31" s="2"/>
      <c r="IJ31" s="2"/>
      <c r="IK31" s="2">
        <v>0</v>
      </c>
      <c r="IL31" s="2" t="s">
        <v>209</v>
      </c>
      <c r="IM31" s="2">
        <v>1.4420999999999999</v>
      </c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C32">
        <f>ROW(SmtRes!A16)</f>
        <v>16</v>
      </c>
      <c r="D32">
        <f>ROW(EtalonRes!A18)</f>
        <v>18</v>
      </c>
      <c r="E32" t="s">
        <v>37</v>
      </c>
      <c r="F32" t="s">
        <v>38</v>
      </c>
      <c r="G32" t="s">
        <v>39</v>
      </c>
      <c r="H32" t="s">
        <v>40</v>
      </c>
      <c r="I32">
        <f>'2.Лок.смета.и.Акт в ЕР'!E72</f>
        <v>1.4420999999999999</v>
      </c>
      <c r="J32">
        <v>0</v>
      </c>
      <c r="K32">
        <f>ROUND(144.21/100,9)</f>
        <v>1.4420999999999999</v>
      </c>
      <c r="O32">
        <f t="shared" si="14"/>
        <v>53126</v>
      </c>
      <c r="P32">
        <f t="shared" si="15"/>
        <v>0</v>
      </c>
      <c r="Q32">
        <f t="shared" si="16"/>
        <v>0</v>
      </c>
      <c r="R32">
        <f t="shared" si="17"/>
        <v>0</v>
      </c>
      <c r="S32">
        <f t="shared" si="18"/>
        <v>53126</v>
      </c>
      <c r="T32">
        <f t="shared" si="19"/>
        <v>0</v>
      </c>
      <c r="U32">
        <f t="shared" si="20"/>
        <v>266.50007999999997</v>
      </c>
      <c r="V32">
        <f t="shared" si="21"/>
        <v>0</v>
      </c>
      <c r="W32">
        <f t="shared" si="22"/>
        <v>0</v>
      </c>
      <c r="X32">
        <f t="shared" si="23"/>
        <v>40376</v>
      </c>
      <c r="Y32">
        <f t="shared" si="23"/>
        <v>20188</v>
      </c>
      <c r="AA32">
        <v>62803416</v>
      </c>
      <c r="AB32">
        <f t="shared" si="24"/>
        <v>1454.38</v>
      </c>
      <c r="AC32">
        <f>ROUND((ES32),2)</f>
        <v>0</v>
      </c>
      <c r="AD32">
        <f>ROUND((((ET32)-(EU32))+AE32),2)</f>
        <v>0</v>
      </c>
      <c r="AE32">
        <f>ROUND((EU32),2)</f>
        <v>0</v>
      </c>
      <c r="AF32">
        <f>ROUND(((EV32*1.2)),2)</f>
        <v>1454.38</v>
      </c>
      <c r="AG32">
        <f t="shared" si="25"/>
        <v>0</v>
      </c>
      <c r="AH32">
        <f>((EW32*1.2))</f>
        <v>184.79999999999998</v>
      </c>
      <c r="AI32">
        <f>(EX32)</f>
        <v>0</v>
      </c>
      <c r="AJ32">
        <f t="shared" si="27"/>
        <v>0</v>
      </c>
      <c r="AK32" s="77">
        <f>AL32+AM32+AO32</f>
        <v>1211.98</v>
      </c>
      <c r="AL32">
        <v>0</v>
      </c>
      <c r="AM32">
        <v>0</v>
      </c>
      <c r="AN32">
        <v>0</v>
      </c>
      <c r="AO32" s="77">
        <f>'2.Лок.смета.и.Акт в ЕР'!F74</f>
        <v>1211.98</v>
      </c>
      <c r="AP32">
        <v>0</v>
      </c>
      <c r="AQ32">
        <f>'2.Лок.смета.и.Акт в ЕР'!E77</f>
        <v>154</v>
      </c>
      <c r="AR32">
        <v>0</v>
      </c>
      <c r="AS32">
        <v>0</v>
      </c>
      <c r="AT32">
        <v>76</v>
      </c>
      <c r="AU32">
        <v>38</v>
      </c>
      <c r="AV32">
        <v>1</v>
      </c>
      <c r="AW32">
        <v>1</v>
      </c>
      <c r="AZ32">
        <v>1</v>
      </c>
      <c r="BA32">
        <f>'2.Лок.смета.и.Акт в ЕР'!J74</f>
        <v>25.33</v>
      </c>
      <c r="BB32">
        <v>6.41</v>
      </c>
      <c r="BC32">
        <v>7.56</v>
      </c>
      <c r="BD32" t="s">
        <v>6</v>
      </c>
      <c r="BE32" t="s">
        <v>6</v>
      </c>
      <c r="BF32" t="s">
        <v>6</v>
      </c>
      <c r="BG32" t="s">
        <v>6</v>
      </c>
      <c r="BH32">
        <v>0</v>
      </c>
      <c r="BI32">
        <v>1</v>
      </c>
      <c r="BJ32" t="s">
        <v>41</v>
      </c>
      <c r="BM32">
        <v>1003</v>
      </c>
      <c r="BN32">
        <v>0</v>
      </c>
      <c r="BO32" t="s">
        <v>38</v>
      </c>
      <c r="BP32">
        <v>1</v>
      </c>
      <c r="BQ32">
        <v>1</v>
      </c>
      <c r="BR32">
        <v>0</v>
      </c>
      <c r="BS32">
        <v>18.329999999999998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6</v>
      </c>
      <c r="BZ32">
        <v>76</v>
      </c>
      <c r="CA32">
        <v>38</v>
      </c>
      <c r="CB32" t="s">
        <v>6</v>
      </c>
      <c r="CE32">
        <v>0</v>
      </c>
      <c r="CF32">
        <v>0</v>
      </c>
      <c r="CG32">
        <v>0</v>
      </c>
      <c r="CM32">
        <v>0</v>
      </c>
      <c r="CN32" t="s">
        <v>42</v>
      </c>
      <c r="CO32">
        <v>0</v>
      </c>
      <c r="CP32">
        <f t="shared" si="28"/>
        <v>53126</v>
      </c>
      <c r="CQ32">
        <f t="shared" si="29"/>
        <v>0</v>
      </c>
      <c r="CR32">
        <f t="shared" si="30"/>
        <v>0</v>
      </c>
      <c r="CS32">
        <f t="shared" si="31"/>
        <v>0</v>
      </c>
      <c r="CT32">
        <f t="shared" si="32"/>
        <v>36839.445399999997</v>
      </c>
      <c r="CU32">
        <f t="shared" si="33"/>
        <v>0</v>
      </c>
      <c r="CV32">
        <f t="shared" si="33"/>
        <v>184.79999999999998</v>
      </c>
      <c r="CW32">
        <f t="shared" si="33"/>
        <v>0</v>
      </c>
      <c r="CX32">
        <f t="shared" si="33"/>
        <v>0</v>
      </c>
      <c r="CY32">
        <f>(S32+R32)*(BZ32/100)</f>
        <v>40375.760000000002</v>
      </c>
      <c r="CZ32">
        <f>(S32+R32)*(CA32/100)</f>
        <v>20187.88</v>
      </c>
      <c r="DC32" t="s">
        <v>6</v>
      </c>
      <c r="DD32" t="s">
        <v>6</v>
      </c>
      <c r="DE32" t="s">
        <v>6</v>
      </c>
      <c r="DF32" t="s">
        <v>6</v>
      </c>
      <c r="DG32" t="s">
        <v>43</v>
      </c>
      <c r="DH32" t="s">
        <v>6</v>
      </c>
      <c r="DI32" t="s">
        <v>43</v>
      </c>
      <c r="DJ32" t="s">
        <v>6</v>
      </c>
      <c r="DK32" t="s">
        <v>6</v>
      </c>
      <c r="DL32" t="s">
        <v>6</v>
      </c>
      <c r="DM32" t="s">
        <v>6</v>
      </c>
      <c r="DN32">
        <f>'2.Лок.смета.и.Акт в ЕР'!E75</f>
        <v>80</v>
      </c>
      <c r="DO32">
        <f>'2.Лок.смета.и.Акт в ЕР'!E76</f>
        <v>45</v>
      </c>
      <c r="DP32">
        <v>1</v>
      </c>
      <c r="DQ32">
        <v>1</v>
      </c>
      <c r="DU32">
        <v>1013</v>
      </c>
      <c r="DV32" t="s">
        <v>40</v>
      </c>
      <c r="DW32" t="str">
        <f>'2.Лок.смета.и.Акт в ЕР'!D72</f>
        <v>100 м3 грунта</v>
      </c>
      <c r="DX32">
        <v>1</v>
      </c>
      <c r="DZ32" t="s">
        <v>6</v>
      </c>
      <c r="EA32" t="s">
        <v>6</v>
      </c>
      <c r="EB32" t="s">
        <v>6</v>
      </c>
      <c r="EC32" t="s">
        <v>6</v>
      </c>
      <c r="EE32">
        <v>53008006</v>
      </c>
      <c r="EF32">
        <v>1</v>
      </c>
      <c r="EG32" t="s">
        <v>22</v>
      </c>
      <c r="EH32">
        <v>0</v>
      </c>
      <c r="EI32" t="s">
        <v>6</v>
      </c>
      <c r="EJ32">
        <v>1</v>
      </c>
      <c r="EK32">
        <v>1003</v>
      </c>
      <c r="EL32" t="s">
        <v>44</v>
      </c>
      <c r="EM32" t="s">
        <v>24</v>
      </c>
      <c r="EO32" t="s">
        <v>45</v>
      </c>
      <c r="EQ32">
        <v>131072</v>
      </c>
      <c r="ER32" s="77">
        <f>ES32+ET32+EV32</f>
        <v>1211.98</v>
      </c>
      <c r="ES32">
        <v>0</v>
      </c>
      <c r="ET32">
        <v>0</v>
      </c>
      <c r="EU32">
        <v>0</v>
      </c>
      <c r="EV32" s="77">
        <f>'2.Лок.смета.и.Акт в ЕР'!F74</f>
        <v>1211.98</v>
      </c>
      <c r="EW32">
        <f>'2.Лок.смета.и.Акт в ЕР'!E77</f>
        <v>154</v>
      </c>
      <c r="EX32">
        <v>0</v>
      </c>
      <c r="EY32">
        <v>0</v>
      </c>
      <c r="FQ32">
        <v>0</v>
      </c>
      <c r="FR32">
        <f t="shared" si="34"/>
        <v>0</v>
      </c>
      <c r="FS32">
        <v>0</v>
      </c>
      <c r="FX32">
        <v>80</v>
      </c>
      <c r="FY32">
        <v>45</v>
      </c>
      <c r="GA32" t="s">
        <v>6</v>
      </c>
      <c r="GD32">
        <v>1</v>
      </c>
      <c r="GF32">
        <v>2023641234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35"/>
        <v>0</v>
      </c>
      <c r="GM32">
        <f t="shared" si="36"/>
        <v>113690</v>
      </c>
      <c r="GN32">
        <f t="shared" si="37"/>
        <v>113690</v>
      </c>
      <c r="GO32">
        <f t="shared" si="38"/>
        <v>0</v>
      </c>
      <c r="GP32">
        <f t="shared" si="39"/>
        <v>0</v>
      </c>
      <c r="GR32">
        <v>0</v>
      </c>
      <c r="GS32">
        <v>3</v>
      </c>
      <c r="GT32">
        <v>0</v>
      </c>
      <c r="GU32" t="s">
        <v>6</v>
      </c>
      <c r="GV32">
        <f t="shared" si="40"/>
        <v>0</v>
      </c>
      <c r="GW32">
        <v>1010.2</v>
      </c>
      <c r="GX32">
        <f t="shared" si="41"/>
        <v>0</v>
      </c>
      <c r="HA32">
        <v>0</v>
      </c>
      <c r="HB32">
        <v>0</v>
      </c>
      <c r="HC32">
        <f t="shared" si="42"/>
        <v>0</v>
      </c>
      <c r="HE32" t="s">
        <v>6</v>
      </c>
      <c r="HF32" t="s">
        <v>6</v>
      </c>
      <c r="HM32" t="s">
        <v>6</v>
      </c>
      <c r="HN32" t="s">
        <v>6</v>
      </c>
      <c r="HO32" t="s">
        <v>6</v>
      </c>
      <c r="HP32" t="s">
        <v>6</v>
      </c>
      <c r="HQ32" t="s">
        <v>6</v>
      </c>
      <c r="IF32">
        <v>-1</v>
      </c>
      <c r="IK32">
        <v>0</v>
      </c>
      <c r="IL32" t="s">
        <v>209</v>
      </c>
      <c r="IM32">
        <v>1.4420999999999999</v>
      </c>
    </row>
    <row r="33" spans="1:240" x14ac:dyDescent="0.2">
      <c r="IF33">
        <v>-1</v>
      </c>
    </row>
    <row r="34" spans="1:240" x14ac:dyDescent="0.2">
      <c r="A34" s="3">
        <v>51</v>
      </c>
      <c r="B34" s="3">
        <f>B20</f>
        <v>1</v>
      </c>
      <c r="C34" s="3">
        <f>A20</f>
        <v>3</v>
      </c>
      <c r="D34" s="3">
        <f>ROW(A20)</f>
        <v>20</v>
      </c>
      <c r="E34" s="3"/>
      <c r="F34" s="3" t="str">
        <f>IF(F20&lt;&gt;"",F20,"")</f>
        <v>5.1.1.1</v>
      </c>
      <c r="G34" s="3" t="str">
        <f>IF(G20&lt;&gt;"",G20,"")</f>
        <v>Устройство котлована</v>
      </c>
      <c r="H34" s="3">
        <v>0</v>
      </c>
      <c r="I34" s="3"/>
      <c r="J34" s="3"/>
      <c r="K34" s="3"/>
      <c r="L34" s="3"/>
      <c r="M34" s="3"/>
      <c r="N34" s="3"/>
      <c r="O34" s="3">
        <f t="shared" ref="O34:T34" si="43">ROUND(AB34,0)</f>
        <v>29890</v>
      </c>
      <c r="P34" s="3">
        <f t="shared" si="43"/>
        <v>0</v>
      </c>
      <c r="Q34" s="3">
        <f t="shared" si="43"/>
        <v>27701</v>
      </c>
      <c r="R34" s="3">
        <f t="shared" si="43"/>
        <v>1304</v>
      </c>
      <c r="S34" s="3">
        <f t="shared" si="43"/>
        <v>2189</v>
      </c>
      <c r="T34" s="3">
        <f t="shared" si="43"/>
        <v>0</v>
      </c>
      <c r="U34" s="3">
        <f>AH34</f>
        <v>278.18263499999995</v>
      </c>
      <c r="V34" s="3">
        <f>AI34</f>
        <v>95.796950999999993</v>
      </c>
      <c r="W34" s="3">
        <f>ROUND(AJ34,0)</f>
        <v>0</v>
      </c>
      <c r="X34" s="3">
        <f>ROUND(AK34,0)</f>
        <v>3004</v>
      </c>
      <c r="Y34" s="3">
        <f>ROUND(AL34,0)</f>
        <v>1643</v>
      </c>
      <c r="Z34" s="3"/>
      <c r="AA34" s="3"/>
      <c r="AB34" s="3">
        <f>ROUND(SUMIF(AA24:AA32,"=62803415",O24:O32),0)</f>
        <v>29890</v>
      </c>
      <c r="AC34" s="3">
        <f>ROUND(SUMIF(AA24:AA32,"=62803415",P24:P32),0)</f>
        <v>0</v>
      </c>
      <c r="AD34" s="3">
        <f>ROUND(SUMIF(AA24:AA32,"=62803415",Q24:Q32),0)</f>
        <v>27701</v>
      </c>
      <c r="AE34" s="3">
        <f>ROUND(SUMIF(AA24:AA32,"=62803415",R24:R32),0)</f>
        <v>1304</v>
      </c>
      <c r="AF34" s="3">
        <f>ROUND(SUMIF(AA24:AA32,"=62803415",S24:S32),0)</f>
        <v>2189</v>
      </c>
      <c r="AG34" s="3">
        <f>ROUND(SUMIF(AA24:AA32,"=62803415",T24:T32),0)</f>
        <v>0</v>
      </c>
      <c r="AH34" s="3">
        <f>SUMIF(AA24:AA32,"=62803415",U24:U32)</f>
        <v>278.18263499999995</v>
      </c>
      <c r="AI34" s="3">
        <f>SUMIF(AA24:AA32,"=62803415",V24:V32)</f>
        <v>95.796950999999993</v>
      </c>
      <c r="AJ34" s="3">
        <f>ROUND(SUMIF(AA24:AA32,"=62803415",W24:W32),0)</f>
        <v>0</v>
      </c>
      <c r="AK34" s="3">
        <f>ROUND(SUMIF(AA24:AA32,"=62803415",X24:X32),0)</f>
        <v>3004</v>
      </c>
      <c r="AL34" s="3">
        <f>ROUND(SUMIF(AA24:AA32,"=62803415",Y24:Y32),0)</f>
        <v>1643</v>
      </c>
      <c r="AM34" s="3"/>
      <c r="AN34" s="3"/>
      <c r="AO34" s="3">
        <f t="shared" ref="AO34:BD34" si="44">ROUND(BX34,0)</f>
        <v>0</v>
      </c>
      <c r="AP34" s="3">
        <f t="shared" si="44"/>
        <v>0</v>
      </c>
      <c r="AQ34" s="3">
        <f t="shared" si="44"/>
        <v>0</v>
      </c>
      <c r="AR34" s="3">
        <f t="shared" si="44"/>
        <v>34537</v>
      </c>
      <c r="AS34" s="3">
        <f t="shared" si="44"/>
        <v>34537</v>
      </c>
      <c r="AT34" s="3">
        <f t="shared" si="44"/>
        <v>0</v>
      </c>
      <c r="AU34" s="3">
        <f t="shared" si="44"/>
        <v>0</v>
      </c>
      <c r="AV34" s="3">
        <f t="shared" si="44"/>
        <v>0</v>
      </c>
      <c r="AW34" s="3">
        <f t="shared" si="44"/>
        <v>0</v>
      </c>
      <c r="AX34" s="3">
        <f t="shared" si="44"/>
        <v>0</v>
      </c>
      <c r="AY34" s="3">
        <f t="shared" si="44"/>
        <v>0</v>
      </c>
      <c r="AZ34" s="3">
        <f t="shared" si="44"/>
        <v>0</v>
      </c>
      <c r="BA34" s="3">
        <f t="shared" si="44"/>
        <v>0</v>
      </c>
      <c r="BB34" s="3">
        <f t="shared" si="44"/>
        <v>0</v>
      </c>
      <c r="BC34" s="3">
        <f t="shared" si="44"/>
        <v>0</v>
      </c>
      <c r="BD34" s="3">
        <f t="shared" si="44"/>
        <v>16406</v>
      </c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>
        <f>ROUND(SUMIF(AA24:AA32,"=62803415",FQ24:FQ32),0)</f>
        <v>0</v>
      </c>
      <c r="BY34" s="3">
        <f>ROUND(SUMIF(AA24:AA32,"=62803415",FR24:FR32),0)</f>
        <v>0</v>
      </c>
      <c r="BZ34" s="3">
        <f>ROUND(SUMIF(AA24:AA32,"=62803415",GL24:GL32),0)</f>
        <v>0</v>
      </c>
      <c r="CA34" s="3">
        <f>ROUND(SUMIF(AA24:AA32,"=62803415",GM24:GM32),0)</f>
        <v>34537</v>
      </c>
      <c r="CB34" s="3">
        <f>ROUND(SUMIF(AA24:AA32,"=62803415",GN24:GN32),0)</f>
        <v>34537</v>
      </c>
      <c r="CC34" s="3">
        <f>ROUND(SUMIF(AA24:AA32,"=62803415",GO24:GO32),0)</f>
        <v>0</v>
      </c>
      <c r="CD34" s="3">
        <f>ROUND(SUMIF(AA24:AA32,"=62803415",GP24:GP32),0)</f>
        <v>0</v>
      </c>
      <c r="CE34" s="3">
        <f>AC34-BX34</f>
        <v>0</v>
      </c>
      <c r="CF34" s="3">
        <f>AC34-BY34</f>
        <v>0</v>
      </c>
      <c r="CG34" s="3">
        <f>BX34-BZ34</f>
        <v>0</v>
      </c>
      <c r="CH34" s="3">
        <f>AC34-BX34-BY34+BZ34</f>
        <v>0</v>
      </c>
      <c r="CI34" s="3">
        <f>BY34-BZ34</f>
        <v>0</v>
      </c>
      <c r="CJ34" s="3">
        <f>ROUND(SUMIF(AA24:AA32,"=62803415",GX24:GX32),0)</f>
        <v>0</v>
      </c>
      <c r="CK34" s="3">
        <f>ROUND(SUMIF(AA24:AA32,"=62803415",GY24:GY32),0)</f>
        <v>0</v>
      </c>
      <c r="CL34" s="3">
        <f>ROUND(SUMIF(AA24:AA32,"=62803415",GZ24:GZ32),0)</f>
        <v>0</v>
      </c>
      <c r="CM34" s="3">
        <f>ROUND(SUMIF(AA24:AA32,"=62803415",HD24:HD32),0)</f>
        <v>16406</v>
      </c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4">
        <f t="shared" ref="DG34:DL34" si="45">ROUND(DT34,0)</f>
        <v>244662</v>
      </c>
      <c r="DH34" s="4">
        <f t="shared" si="45"/>
        <v>0</v>
      </c>
      <c r="DI34" s="4">
        <f t="shared" si="45"/>
        <v>189207</v>
      </c>
      <c r="DJ34" s="4">
        <f t="shared" si="45"/>
        <v>23899</v>
      </c>
      <c r="DK34" s="4">
        <f t="shared" si="45"/>
        <v>55455</v>
      </c>
      <c r="DL34" s="4">
        <f t="shared" si="45"/>
        <v>0</v>
      </c>
      <c r="DM34" s="4">
        <f>DZ34</f>
        <v>278.18263499999995</v>
      </c>
      <c r="DN34" s="4">
        <f>EA34</f>
        <v>95.796950999999993</v>
      </c>
      <c r="DO34" s="4">
        <f>ROUND(EB34,0)</f>
        <v>0</v>
      </c>
      <c r="DP34" s="4">
        <f>ROUND(EC34,0)</f>
        <v>63981</v>
      </c>
      <c r="DQ34" s="4">
        <f>ROUND(ED34,0)</f>
        <v>31466</v>
      </c>
      <c r="DR34" s="4"/>
      <c r="DS34" s="4"/>
      <c r="DT34" s="4">
        <f>ROUND(SUMIF(AA24:AA32,"=62803416",O24:O32),0)</f>
        <v>244662</v>
      </c>
      <c r="DU34" s="4">
        <f>ROUND(SUMIF(AA24:AA32,"=62803416",P24:P32),0)</f>
        <v>0</v>
      </c>
      <c r="DV34" s="4">
        <f>ROUND(SUMIF(AA24:AA32,"=62803416",Q24:Q32),0)</f>
        <v>189207</v>
      </c>
      <c r="DW34" s="4">
        <f>ROUND(SUMIF(AA24:AA32,"=62803416",R24:R32),0)</f>
        <v>23899</v>
      </c>
      <c r="DX34" s="4">
        <f>ROUND(SUMIF(AA24:AA32,"=62803416",S24:S32),0)</f>
        <v>55455</v>
      </c>
      <c r="DY34" s="4">
        <f>ROUND(SUMIF(AA24:AA32,"=62803416",T24:T32),0)</f>
        <v>0</v>
      </c>
      <c r="DZ34" s="4">
        <f>SUMIF(AA24:AA32,"=62803416",U24:U32)</f>
        <v>278.18263499999995</v>
      </c>
      <c r="EA34" s="4">
        <f>SUMIF(AA24:AA32,"=62803416",V24:V32)</f>
        <v>95.796950999999993</v>
      </c>
      <c r="EB34" s="4">
        <f>ROUND(SUMIF(AA24:AA32,"=62803416",W24:W32),0)</f>
        <v>0</v>
      </c>
      <c r="EC34" s="4">
        <f>ROUND(SUMIF(AA24:AA32,"=62803416",X24:X32),0)</f>
        <v>63981</v>
      </c>
      <c r="ED34" s="4">
        <f>ROUND(SUMIF(AA24:AA32,"=62803416",Y24:Y32),0)</f>
        <v>31466</v>
      </c>
      <c r="EE34" s="4"/>
      <c r="EF34" s="4"/>
      <c r="EG34" s="4">
        <f t="shared" ref="EG34:EV34" si="46">ROUND(FP34,0)</f>
        <v>0</v>
      </c>
      <c r="EH34" s="4">
        <f t="shared" si="46"/>
        <v>0</v>
      </c>
      <c r="EI34" s="4">
        <f t="shared" si="46"/>
        <v>0</v>
      </c>
      <c r="EJ34" s="4">
        <f t="shared" si="46"/>
        <v>340109</v>
      </c>
      <c r="EK34" s="4">
        <f t="shared" si="46"/>
        <v>340109</v>
      </c>
      <c r="EL34" s="4">
        <f t="shared" si="46"/>
        <v>0</v>
      </c>
      <c r="EM34" s="4">
        <f t="shared" si="46"/>
        <v>0</v>
      </c>
      <c r="EN34" s="4">
        <f t="shared" si="46"/>
        <v>0</v>
      </c>
      <c r="EO34" s="4">
        <f t="shared" si="46"/>
        <v>0</v>
      </c>
      <c r="EP34" s="4">
        <f t="shared" si="46"/>
        <v>0</v>
      </c>
      <c r="EQ34" s="4">
        <f t="shared" si="46"/>
        <v>0</v>
      </c>
      <c r="ER34" s="4">
        <f t="shared" si="46"/>
        <v>0</v>
      </c>
      <c r="ES34" s="4">
        <f t="shared" si="46"/>
        <v>0</v>
      </c>
      <c r="ET34" s="4">
        <f t="shared" si="46"/>
        <v>0</v>
      </c>
      <c r="EU34" s="4">
        <f t="shared" si="46"/>
        <v>0</v>
      </c>
      <c r="EV34" s="4">
        <f t="shared" si="46"/>
        <v>116807</v>
      </c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>
        <f>ROUND(SUMIF(AA24:AA32,"=62803416",FQ24:FQ32),0)</f>
        <v>0</v>
      </c>
      <c r="FQ34" s="4">
        <f>ROUND(SUMIF(AA24:AA32,"=62803416",FR24:FR32),0)</f>
        <v>0</v>
      </c>
      <c r="FR34" s="4">
        <f>ROUND(SUMIF(AA24:AA32,"=62803416",GL24:GL32),0)</f>
        <v>0</v>
      </c>
      <c r="FS34" s="4">
        <f>ROUND(SUMIF(AA24:AA32,"=62803416",GM24:GM32),0)</f>
        <v>340109</v>
      </c>
      <c r="FT34" s="4">
        <f>ROUND(SUMIF(AA24:AA32,"=62803416",GN24:GN32),0)</f>
        <v>340109</v>
      </c>
      <c r="FU34" s="4">
        <f>ROUND(SUMIF(AA24:AA32,"=62803416",GO24:GO32),0)</f>
        <v>0</v>
      </c>
      <c r="FV34" s="4">
        <f>ROUND(SUMIF(AA24:AA32,"=62803416",GP24:GP32),0)</f>
        <v>0</v>
      </c>
      <c r="FW34" s="4">
        <f>DU34-FP34</f>
        <v>0</v>
      </c>
      <c r="FX34" s="4">
        <f>DU34-FQ34</f>
        <v>0</v>
      </c>
      <c r="FY34" s="4">
        <f>FP34-FR34</f>
        <v>0</v>
      </c>
      <c r="FZ34" s="4">
        <f>DU34-FP34-FQ34+FR34</f>
        <v>0</v>
      </c>
      <c r="GA34" s="4">
        <f>FQ34-FR34</f>
        <v>0</v>
      </c>
      <c r="GB34" s="4">
        <f>ROUND(SUMIF(AA24:AA32,"=62803416",GX24:GX32),0)</f>
        <v>0</v>
      </c>
      <c r="GC34" s="4">
        <f>ROUND(SUMIF(AA24:AA32,"=62803416",GY24:GY32),0)</f>
        <v>0</v>
      </c>
      <c r="GD34" s="4">
        <f>ROUND(SUMIF(AA24:AA32,"=62803416",GZ24:GZ32),0)</f>
        <v>0</v>
      </c>
      <c r="GE34" s="4">
        <f>ROUND(SUMIF(AA24:AA32,"=62803416",HD24:HD32),0)</f>
        <v>116807</v>
      </c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>
        <v>0</v>
      </c>
      <c r="IF34">
        <v>-1</v>
      </c>
    </row>
    <row r="35" spans="1:240" x14ac:dyDescent="0.2">
      <c r="IF35">
        <v>-1</v>
      </c>
    </row>
    <row r="36" spans="1:240" x14ac:dyDescent="0.2">
      <c r="A36" s="5">
        <v>50</v>
      </c>
      <c r="B36" s="5">
        <v>0</v>
      </c>
      <c r="C36" s="5">
        <v>0</v>
      </c>
      <c r="D36" s="5">
        <v>1</v>
      </c>
      <c r="E36" s="5">
        <v>201</v>
      </c>
      <c r="F36" s="5">
        <f>ROUND(Source!O34,O36)</f>
        <v>29890</v>
      </c>
      <c r="G36" s="5" t="s">
        <v>46</v>
      </c>
      <c r="H36" s="5" t="s">
        <v>47</v>
      </c>
      <c r="I36" s="5"/>
      <c r="J36" s="5"/>
      <c r="K36" s="5">
        <v>201</v>
      </c>
      <c r="L36" s="5">
        <v>1</v>
      </c>
      <c r="M36" s="5">
        <v>3</v>
      </c>
      <c r="N36" s="5" t="s">
        <v>6</v>
      </c>
      <c r="O36" s="5">
        <v>0</v>
      </c>
      <c r="P36" s="5">
        <f>ROUND(Source!DG34,O36)</f>
        <v>244662</v>
      </c>
      <c r="Q36" s="5"/>
      <c r="R36" s="5"/>
      <c r="S36" s="5"/>
      <c r="T36" s="5"/>
      <c r="U36" s="5"/>
      <c r="V36" s="5"/>
      <c r="W36" s="5">
        <v>29890</v>
      </c>
      <c r="X36" s="5">
        <v>1</v>
      </c>
      <c r="Y36" s="5">
        <v>29890</v>
      </c>
      <c r="Z36" s="5">
        <v>244662</v>
      </c>
      <c r="AA36" s="5">
        <v>1</v>
      </c>
      <c r="AB36" s="5">
        <v>244662</v>
      </c>
      <c r="IF36">
        <v>-1</v>
      </c>
    </row>
    <row r="37" spans="1:240" x14ac:dyDescent="0.2">
      <c r="A37" s="5">
        <v>50</v>
      </c>
      <c r="B37" s="5">
        <v>0</v>
      </c>
      <c r="C37" s="5">
        <v>0</v>
      </c>
      <c r="D37" s="5">
        <v>1</v>
      </c>
      <c r="E37" s="5">
        <v>202</v>
      </c>
      <c r="F37" s="5">
        <f>ROUND(Source!P34,O37)</f>
        <v>0</v>
      </c>
      <c r="G37" s="5" t="s">
        <v>48</v>
      </c>
      <c r="H37" s="5" t="s">
        <v>49</v>
      </c>
      <c r="I37" s="5"/>
      <c r="J37" s="5"/>
      <c r="K37" s="5">
        <v>202</v>
      </c>
      <c r="L37" s="5">
        <v>2</v>
      </c>
      <c r="M37" s="5">
        <v>3</v>
      </c>
      <c r="N37" s="5" t="s">
        <v>6</v>
      </c>
      <c r="O37" s="5">
        <v>0</v>
      </c>
      <c r="P37" s="5">
        <f>ROUND(Source!DH34,O37)</f>
        <v>0</v>
      </c>
      <c r="Q37" s="5"/>
      <c r="R37" s="5"/>
      <c r="S37" s="5"/>
      <c r="T37" s="5"/>
      <c r="U37" s="5"/>
      <c r="V37" s="5"/>
      <c r="W37" s="5">
        <v>0</v>
      </c>
      <c r="X37" s="5">
        <v>1</v>
      </c>
      <c r="Y37" s="5">
        <v>0</v>
      </c>
      <c r="Z37" s="5">
        <v>0</v>
      </c>
      <c r="AA37" s="5">
        <v>1</v>
      </c>
      <c r="AB37" s="5">
        <v>0</v>
      </c>
      <c r="IF37">
        <v>-1</v>
      </c>
    </row>
    <row r="38" spans="1:240" x14ac:dyDescent="0.2">
      <c r="A38" s="5">
        <v>50</v>
      </c>
      <c r="B38" s="5">
        <v>0</v>
      </c>
      <c r="C38" s="5">
        <v>0</v>
      </c>
      <c r="D38" s="5">
        <v>1</v>
      </c>
      <c r="E38" s="5">
        <v>222</v>
      </c>
      <c r="F38" s="5">
        <f>ROUND(Source!AO34,O38)</f>
        <v>0</v>
      </c>
      <c r="G38" s="5" t="s">
        <v>50</v>
      </c>
      <c r="H38" s="5" t="s">
        <v>51</v>
      </c>
      <c r="I38" s="5"/>
      <c r="J38" s="5"/>
      <c r="K38" s="5">
        <v>222</v>
      </c>
      <c r="L38" s="5">
        <v>3</v>
      </c>
      <c r="M38" s="5">
        <v>3</v>
      </c>
      <c r="N38" s="5" t="s">
        <v>6</v>
      </c>
      <c r="O38" s="5">
        <v>0</v>
      </c>
      <c r="P38" s="5">
        <f>ROUND(Source!EG34,O38)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  <c r="IF38">
        <v>-1</v>
      </c>
    </row>
    <row r="39" spans="1:240" x14ac:dyDescent="0.2">
      <c r="A39" s="5">
        <v>50</v>
      </c>
      <c r="B39" s="5">
        <v>0</v>
      </c>
      <c r="C39" s="5">
        <v>0</v>
      </c>
      <c r="D39" s="5">
        <v>1</v>
      </c>
      <c r="E39" s="5">
        <v>225</v>
      </c>
      <c r="F39" s="5">
        <f>ROUND(Source!AV34,O39)</f>
        <v>0</v>
      </c>
      <c r="G39" s="5" t="s">
        <v>52</v>
      </c>
      <c r="H39" s="5" t="s">
        <v>53</v>
      </c>
      <c r="I39" s="5"/>
      <c r="J39" s="5"/>
      <c r="K39" s="5">
        <v>225</v>
      </c>
      <c r="L39" s="5">
        <v>4</v>
      </c>
      <c r="M39" s="5">
        <v>3</v>
      </c>
      <c r="N39" s="5" t="s">
        <v>6</v>
      </c>
      <c r="O39" s="5">
        <v>0</v>
      </c>
      <c r="P39" s="5">
        <f>ROUND(Source!EN34,O39)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  <c r="IF39">
        <v>-1</v>
      </c>
    </row>
    <row r="40" spans="1:240" x14ac:dyDescent="0.2">
      <c r="A40" s="5">
        <v>50</v>
      </c>
      <c r="B40" s="5">
        <v>0</v>
      </c>
      <c r="C40" s="5">
        <v>0</v>
      </c>
      <c r="D40" s="5">
        <v>1</v>
      </c>
      <c r="E40" s="5">
        <v>226</v>
      </c>
      <c r="F40" s="5">
        <f>ROUND(Source!AW34,O40)</f>
        <v>0</v>
      </c>
      <c r="G40" s="5" t="s">
        <v>54</v>
      </c>
      <c r="H40" s="5" t="s">
        <v>55</v>
      </c>
      <c r="I40" s="5"/>
      <c r="J40" s="5"/>
      <c r="K40" s="5">
        <v>226</v>
      </c>
      <c r="L40" s="5">
        <v>5</v>
      </c>
      <c r="M40" s="5">
        <v>3</v>
      </c>
      <c r="N40" s="5" t="s">
        <v>6</v>
      </c>
      <c r="O40" s="5">
        <v>0</v>
      </c>
      <c r="P40" s="5">
        <f>ROUND(Source!EO34,O40)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  <c r="IF40">
        <v>-1</v>
      </c>
    </row>
    <row r="41" spans="1:240" x14ac:dyDescent="0.2">
      <c r="A41" s="5">
        <v>50</v>
      </c>
      <c r="B41" s="5">
        <v>0</v>
      </c>
      <c r="C41" s="5">
        <v>0</v>
      </c>
      <c r="D41" s="5">
        <v>1</v>
      </c>
      <c r="E41" s="5">
        <v>227</v>
      </c>
      <c r="F41" s="5">
        <f>ROUND(Source!AX34,O41)</f>
        <v>0</v>
      </c>
      <c r="G41" s="5" t="s">
        <v>56</v>
      </c>
      <c r="H41" s="5" t="s">
        <v>57</v>
      </c>
      <c r="I41" s="5"/>
      <c r="J41" s="5"/>
      <c r="K41" s="5">
        <v>227</v>
      </c>
      <c r="L41" s="5">
        <v>6</v>
      </c>
      <c r="M41" s="5">
        <v>3</v>
      </c>
      <c r="N41" s="5" t="s">
        <v>6</v>
      </c>
      <c r="O41" s="5">
        <v>0</v>
      </c>
      <c r="P41" s="5">
        <f>ROUND(Source!EP34,O41)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  <c r="IF41">
        <v>-1</v>
      </c>
    </row>
    <row r="42" spans="1:240" x14ac:dyDescent="0.2">
      <c r="A42" s="5">
        <v>50</v>
      </c>
      <c r="B42" s="5">
        <v>0</v>
      </c>
      <c r="C42" s="5">
        <v>0</v>
      </c>
      <c r="D42" s="5">
        <v>1</v>
      </c>
      <c r="E42" s="5">
        <v>228</v>
      </c>
      <c r="F42" s="5">
        <f>ROUND(Source!AY34,O42)</f>
        <v>0</v>
      </c>
      <c r="G42" s="5" t="s">
        <v>58</v>
      </c>
      <c r="H42" s="5" t="s">
        <v>59</v>
      </c>
      <c r="I42" s="5"/>
      <c r="J42" s="5"/>
      <c r="K42" s="5">
        <v>228</v>
      </c>
      <c r="L42" s="5">
        <v>7</v>
      </c>
      <c r="M42" s="5">
        <v>3</v>
      </c>
      <c r="N42" s="5" t="s">
        <v>6</v>
      </c>
      <c r="O42" s="5">
        <v>0</v>
      </c>
      <c r="P42" s="5">
        <f>ROUND(Source!EQ34,O42)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  <c r="IF42">
        <v>-1</v>
      </c>
    </row>
    <row r="43" spans="1:240" x14ac:dyDescent="0.2">
      <c r="A43" s="5">
        <v>50</v>
      </c>
      <c r="B43" s="5">
        <v>0</v>
      </c>
      <c r="C43" s="5">
        <v>0</v>
      </c>
      <c r="D43" s="5">
        <v>1</v>
      </c>
      <c r="E43" s="5">
        <v>216</v>
      </c>
      <c r="F43" s="5">
        <f>ROUND(Source!AP34,O43)</f>
        <v>0</v>
      </c>
      <c r="G43" s="5" t="s">
        <v>60</v>
      </c>
      <c r="H43" s="5" t="s">
        <v>61</v>
      </c>
      <c r="I43" s="5"/>
      <c r="J43" s="5"/>
      <c r="K43" s="5">
        <v>216</v>
      </c>
      <c r="L43" s="5">
        <v>8</v>
      </c>
      <c r="M43" s="5">
        <v>3</v>
      </c>
      <c r="N43" s="5" t="s">
        <v>6</v>
      </c>
      <c r="O43" s="5">
        <v>0</v>
      </c>
      <c r="P43" s="5">
        <f>ROUND(Source!EH34,O43)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  <c r="IF43">
        <v>-1</v>
      </c>
    </row>
    <row r="44" spans="1:240" x14ac:dyDescent="0.2">
      <c r="A44" s="5">
        <v>50</v>
      </c>
      <c r="B44" s="5">
        <v>0</v>
      </c>
      <c r="C44" s="5">
        <v>0</v>
      </c>
      <c r="D44" s="5">
        <v>1</v>
      </c>
      <c r="E44" s="5">
        <v>223</v>
      </c>
      <c r="F44" s="5">
        <f>ROUND(Source!AQ34,O44)</f>
        <v>0</v>
      </c>
      <c r="G44" s="5" t="s">
        <v>62</v>
      </c>
      <c r="H44" s="5" t="s">
        <v>63</v>
      </c>
      <c r="I44" s="5"/>
      <c r="J44" s="5"/>
      <c r="K44" s="5">
        <v>223</v>
      </c>
      <c r="L44" s="5">
        <v>9</v>
      </c>
      <c r="M44" s="5">
        <v>3</v>
      </c>
      <c r="N44" s="5" t="s">
        <v>6</v>
      </c>
      <c r="O44" s="5">
        <v>0</v>
      </c>
      <c r="P44" s="5">
        <f>ROUND(Source!EI34,O44)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  <c r="IF44">
        <v>-1</v>
      </c>
    </row>
    <row r="45" spans="1:240" x14ac:dyDescent="0.2">
      <c r="A45" s="5">
        <v>50</v>
      </c>
      <c r="B45" s="5">
        <v>0</v>
      </c>
      <c r="C45" s="5">
        <v>0</v>
      </c>
      <c r="D45" s="5">
        <v>1</v>
      </c>
      <c r="E45" s="5">
        <v>229</v>
      </c>
      <c r="F45" s="5">
        <f>ROUND(Source!AZ34,O45)</f>
        <v>0</v>
      </c>
      <c r="G45" s="5" t="s">
        <v>64</v>
      </c>
      <c r="H45" s="5" t="s">
        <v>65</v>
      </c>
      <c r="I45" s="5"/>
      <c r="J45" s="5"/>
      <c r="K45" s="5">
        <v>229</v>
      </c>
      <c r="L45" s="5">
        <v>10</v>
      </c>
      <c r="M45" s="5">
        <v>3</v>
      </c>
      <c r="N45" s="5" t="s">
        <v>6</v>
      </c>
      <c r="O45" s="5">
        <v>0</v>
      </c>
      <c r="P45" s="5">
        <f>ROUND(Source!ER34,O45)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  <c r="IF45">
        <v>-1</v>
      </c>
    </row>
    <row r="46" spans="1:240" x14ac:dyDescent="0.2">
      <c r="A46" s="5">
        <v>50</v>
      </c>
      <c r="B46" s="5">
        <v>0</v>
      </c>
      <c r="C46" s="5">
        <v>0</v>
      </c>
      <c r="D46" s="5">
        <v>1</v>
      </c>
      <c r="E46" s="5">
        <v>203</v>
      </c>
      <c r="F46" s="5">
        <f>ROUND(Source!Q34,O46)</f>
        <v>27701</v>
      </c>
      <c r="G46" s="5" t="s">
        <v>66</v>
      </c>
      <c r="H46" s="5" t="s">
        <v>67</v>
      </c>
      <c r="I46" s="5"/>
      <c r="J46" s="5"/>
      <c r="K46" s="5">
        <v>203</v>
      </c>
      <c r="L46" s="5">
        <v>11</v>
      </c>
      <c r="M46" s="5">
        <v>3</v>
      </c>
      <c r="N46" s="5" t="s">
        <v>6</v>
      </c>
      <c r="O46" s="5">
        <v>0</v>
      </c>
      <c r="P46" s="5">
        <f>ROUND(Source!DI34,O46)</f>
        <v>189207</v>
      </c>
      <c r="Q46" s="5"/>
      <c r="R46" s="5"/>
      <c r="S46" s="5"/>
      <c r="T46" s="5"/>
      <c r="U46" s="5"/>
      <c r="V46" s="5"/>
      <c r="W46" s="5">
        <v>27701</v>
      </c>
      <c r="X46" s="5">
        <v>1</v>
      </c>
      <c r="Y46" s="5">
        <v>27701</v>
      </c>
      <c r="Z46" s="5">
        <v>189207</v>
      </c>
      <c r="AA46" s="5">
        <v>1</v>
      </c>
      <c r="AB46" s="5">
        <v>189207</v>
      </c>
      <c r="IF46">
        <v>-1</v>
      </c>
    </row>
    <row r="47" spans="1:240" x14ac:dyDescent="0.2">
      <c r="A47" s="5">
        <v>50</v>
      </c>
      <c r="B47" s="5">
        <v>0</v>
      </c>
      <c r="C47" s="5">
        <v>0</v>
      </c>
      <c r="D47" s="5">
        <v>1</v>
      </c>
      <c r="E47" s="5">
        <v>231</v>
      </c>
      <c r="F47" s="5">
        <f>ROUND(Source!BB34,O47)</f>
        <v>0</v>
      </c>
      <c r="G47" s="5" t="s">
        <v>68</v>
      </c>
      <c r="H47" s="5" t="s">
        <v>69</v>
      </c>
      <c r="I47" s="5"/>
      <c r="J47" s="5"/>
      <c r="K47" s="5">
        <v>231</v>
      </c>
      <c r="L47" s="5">
        <v>12</v>
      </c>
      <c r="M47" s="5">
        <v>3</v>
      </c>
      <c r="N47" s="5" t="s">
        <v>6</v>
      </c>
      <c r="O47" s="5">
        <v>0</v>
      </c>
      <c r="P47" s="5">
        <f>ROUND(Source!ET34,O47)</f>
        <v>0</v>
      </c>
      <c r="Q47" s="5"/>
      <c r="R47" s="5"/>
      <c r="S47" s="5"/>
      <c r="T47" s="5"/>
      <c r="U47" s="5"/>
      <c r="V47" s="5"/>
      <c r="W47" s="5">
        <v>0</v>
      </c>
      <c r="X47" s="5">
        <v>1</v>
      </c>
      <c r="Y47" s="5">
        <v>0</v>
      </c>
      <c r="Z47" s="5">
        <v>0</v>
      </c>
      <c r="AA47" s="5">
        <v>1</v>
      </c>
      <c r="AB47" s="5">
        <v>0</v>
      </c>
      <c r="IF47">
        <v>-1</v>
      </c>
    </row>
    <row r="48" spans="1:240" x14ac:dyDescent="0.2">
      <c r="A48" s="5">
        <v>50</v>
      </c>
      <c r="B48" s="5">
        <v>0</v>
      </c>
      <c r="C48" s="5">
        <v>0</v>
      </c>
      <c r="D48" s="5">
        <v>1</v>
      </c>
      <c r="E48" s="5">
        <v>204</v>
      </c>
      <c r="F48" s="5">
        <f>ROUND(Source!R34,O48)</f>
        <v>1304</v>
      </c>
      <c r="G48" s="5" t="s">
        <v>70</v>
      </c>
      <c r="H48" s="5" t="s">
        <v>71</v>
      </c>
      <c r="I48" s="5"/>
      <c r="J48" s="5"/>
      <c r="K48" s="5">
        <v>204</v>
      </c>
      <c r="L48" s="5">
        <v>13</v>
      </c>
      <c r="M48" s="5">
        <v>3</v>
      </c>
      <c r="N48" s="5" t="s">
        <v>6</v>
      </c>
      <c r="O48" s="5">
        <v>0</v>
      </c>
      <c r="P48" s="5">
        <f>ROUND(Source!DJ34,O48)</f>
        <v>23899</v>
      </c>
      <c r="Q48" s="5"/>
      <c r="R48" s="5"/>
      <c r="S48" s="5"/>
      <c r="T48" s="5"/>
      <c r="U48" s="5"/>
      <c r="V48" s="5"/>
      <c r="W48" s="5">
        <v>1304</v>
      </c>
      <c r="X48" s="5">
        <v>1</v>
      </c>
      <c r="Y48" s="5">
        <v>1304</v>
      </c>
      <c r="Z48" s="5">
        <v>23899</v>
      </c>
      <c r="AA48" s="5">
        <v>1</v>
      </c>
      <c r="AB48" s="5">
        <v>23899</v>
      </c>
      <c r="IF48">
        <v>-1</v>
      </c>
    </row>
    <row r="49" spans="1:240" x14ac:dyDescent="0.2">
      <c r="A49" s="5">
        <v>50</v>
      </c>
      <c r="B49" s="5">
        <v>0</v>
      </c>
      <c r="C49" s="5">
        <v>0</v>
      </c>
      <c r="D49" s="5">
        <v>1</v>
      </c>
      <c r="E49" s="5">
        <v>205</v>
      </c>
      <c r="F49" s="5">
        <f>ROUND(Source!S34,O49)</f>
        <v>2189</v>
      </c>
      <c r="G49" s="5" t="s">
        <v>72</v>
      </c>
      <c r="H49" s="5" t="s">
        <v>73</v>
      </c>
      <c r="I49" s="5"/>
      <c r="J49" s="5"/>
      <c r="K49" s="5">
        <v>205</v>
      </c>
      <c r="L49" s="5">
        <v>14</v>
      </c>
      <c r="M49" s="5">
        <v>3</v>
      </c>
      <c r="N49" s="5" t="s">
        <v>6</v>
      </c>
      <c r="O49" s="5">
        <v>0</v>
      </c>
      <c r="P49" s="5">
        <f>ROUND(Source!DK34,O49)</f>
        <v>55455</v>
      </c>
      <c r="Q49" s="5"/>
      <c r="R49" s="5"/>
      <c r="S49" s="5"/>
      <c r="T49" s="5"/>
      <c r="U49" s="5"/>
      <c r="V49" s="5"/>
      <c r="W49" s="5">
        <v>2189</v>
      </c>
      <c r="X49" s="5">
        <v>1</v>
      </c>
      <c r="Y49" s="5">
        <v>2189</v>
      </c>
      <c r="Z49" s="5">
        <v>55455</v>
      </c>
      <c r="AA49" s="5">
        <v>1</v>
      </c>
      <c r="AB49" s="5">
        <v>55455</v>
      </c>
      <c r="IF49">
        <v>-1</v>
      </c>
    </row>
    <row r="50" spans="1:240" x14ac:dyDescent="0.2">
      <c r="A50" s="5">
        <v>50</v>
      </c>
      <c r="B50" s="5">
        <v>0</v>
      </c>
      <c r="C50" s="5">
        <v>0</v>
      </c>
      <c r="D50" s="5">
        <v>1</v>
      </c>
      <c r="E50" s="5">
        <v>232</v>
      </c>
      <c r="F50" s="5">
        <f>ROUND(Source!BC34,O50)</f>
        <v>0</v>
      </c>
      <c r="G50" s="5" t="s">
        <v>74</v>
      </c>
      <c r="H50" s="5" t="s">
        <v>75</v>
      </c>
      <c r="I50" s="5"/>
      <c r="J50" s="5"/>
      <c r="K50" s="5">
        <v>232</v>
      </c>
      <c r="L50" s="5">
        <v>15</v>
      </c>
      <c r="M50" s="5">
        <v>3</v>
      </c>
      <c r="N50" s="5" t="s">
        <v>6</v>
      </c>
      <c r="O50" s="5">
        <v>0</v>
      </c>
      <c r="P50" s="5">
        <f>ROUND(Source!EU34,O50)</f>
        <v>0</v>
      </c>
      <c r="Q50" s="5"/>
      <c r="R50" s="5"/>
      <c r="S50" s="5"/>
      <c r="T50" s="5"/>
      <c r="U50" s="5"/>
      <c r="V50" s="5"/>
      <c r="W50" s="5">
        <v>0</v>
      </c>
      <c r="X50" s="5">
        <v>1</v>
      </c>
      <c r="Y50" s="5">
        <v>0</v>
      </c>
      <c r="Z50" s="5">
        <v>0</v>
      </c>
      <c r="AA50" s="5">
        <v>1</v>
      </c>
      <c r="AB50" s="5">
        <v>0</v>
      </c>
      <c r="IF50">
        <v>-1</v>
      </c>
    </row>
    <row r="51" spans="1:240" x14ac:dyDescent="0.2">
      <c r="A51" s="5">
        <v>50</v>
      </c>
      <c r="B51" s="5">
        <v>0</v>
      </c>
      <c r="C51" s="5">
        <v>0</v>
      </c>
      <c r="D51" s="5">
        <v>1</v>
      </c>
      <c r="E51" s="5">
        <v>214</v>
      </c>
      <c r="F51" s="5">
        <f>ROUND(Source!AS34,O51)</f>
        <v>34537</v>
      </c>
      <c r="G51" s="5" t="s">
        <v>76</v>
      </c>
      <c r="H51" s="5" t="s">
        <v>77</v>
      </c>
      <c r="I51" s="5"/>
      <c r="J51" s="5"/>
      <c r="K51" s="5">
        <v>214</v>
      </c>
      <c r="L51" s="5">
        <v>16</v>
      </c>
      <c r="M51" s="5">
        <v>3</v>
      </c>
      <c r="N51" s="5" t="s">
        <v>6</v>
      </c>
      <c r="O51" s="5">
        <v>0</v>
      </c>
      <c r="P51" s="5">
        <f>ROUND(Source!EK34,O51)</f>
        <v>340109</v>
      </c>
      <c r="Q51" s="5"/>
      <c r="R51" s="5"/>
      <c r="S51" s="5"/>
      <c r="T51" s="5"/>
      <c r="U51" s="5"/>
      <c r="V51" s="5"/>
      <c r="W51" s="5">
        <v>34537</v>
      </c>
      <c r="X51" s="5">
        <v>1</v>
      </c>
      <c r="Y51" s="5">
        <v>34537</v>
      </c>
      <c r="Z51" s="5">
        <v>340109</v>
      </c>
      <c r="AA51" s="5">
        <v>1</v>
      </c>
      <c r="AB51" s="5">
        <v>340109</v>
      </c>
      <c r="IF51">
        <v>-1</v>
      </c>
    </row>
    <row r="52" spans="1:240" x14ac:dyDescent="0.2">
      <c r="A52" s="5">
        <v>50</v>
      </c>
      <c r="B52" s="5">
        <v>0</v>
      </c>
      <c r="C52" s="5">
        <v>0</v>
      </c>
      <c r="D52" s="5">
        <v>1</v>
      </c>
      <c r="E52" s="5">
        <v>215</v>
      </c>
      <c r="F52" s="5">
        <f>ROUND(Source!AT34,O52)</f>
        <v>0</v>
      </c>
      <c r="G52" s="5" t="s">
        <v>78</v>
      </c>
      <c r="H52" s="5" t="s">
        <v>79</v>
      </c>
      <c r="I52" s="5"/>
      <c r="J52" s="5"/>
      <c r="K52" s="5">
        <v>215</v>
      </c>
      <c r="L52" s="5">
        <v>17</v>
      </c>
      <c r="M52" s="5">
        <v>3</v>
      </c>
      <c r="N52" s="5" t="s">
        <v>6</v>
      </c>
      <c r="O52" s="5">
        <v>0</v>
      </c>
      <c r="P52" s="5">
        <f>ROUND(Source!EL34,O52)</f>
        <v>0</v>
      </c>
      <c r="Q52" s="5"/>
      <c r="R52" s="5"/>
      <c r="S52" s="5"/>
      <c r="T52" s="5"/>
      <c r="U52" s="5"/>
      <c r="V52" s="5"/>
      <c r="W52" s="5">
        <v>0</v>
      </c>
      <c r="X52" s="5">
        <v>1</v>
      </c>
      <c r="Y52" s="5">
        <v>0</v>
      </c>
      <c r="Z52" s="5">
        <v>0</v>
      </c>
      <c r="AA52" s="5">
        <v>1</v>
      </c>
      <c r="AB52" s="5">
        <v>0</v>
      </c>
      <c r="IF52">
        <v>-1</v>
      </c>
    </row>
    <row r="53" spans="1:240" x14ac:dyDescent="0.2">
      <c r="A53" s="5">
        <v>50</v>
      </c>
      <c r="B53" s="5">
        <v>0</v>
      </c>
      <c r="C53" s="5">
        <v>0</v>
      </c>
      <c r="D53" s="5">
        <v>1</v>
      </c>
      <c r="E53" s="5">
        <v>217</v>
      </c>
      <c r="F53" s="5">
        <f>ROUND(Source!AU34,O53)</f>
        <v>0</v>
      </c>
      <c r="G53" s="5" t="s">
        <v>80</v>
      </c>
      <c r="H53" s="5" t="s">
        <v>81</v>
      </c>
      <c r="I53" s="5"/>
      <c r="J53" s="5"/>
      <c r="K53" s="5">
        <v>217</v>
      </c>
      <c r="L53" s="5">
        <v>18</v>
      </c>
      <c r="M53" s="5">
        <v>3</v>
      </c>
      <c r="N53" s="5" t="s">
        <v>6</v>
      </c>
      <c r="O53" s="5">
        <v>0</v>
      </c>
      <c r="P53" s="5">
        <f>ROUND(Source!EM34,O53)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  <c r="IF53">
        <v>-1</v>
      </c>
    </row>
    <row r="54" spans="1:240" x14ac:dyDescent="0.2">
      <c r="A54" s="5">
        <v>50</v>
      </c>
      <c r="B54" s="5">
        <v>0</v>
      </c>
      <c r="C54" s="5">
        <v>0</v>
      </c>
      <c r="D54" s="5">
        <v>1</v>
      </c>
      <c r="E54" s="5">
        <v>230</v>
      </c>
      <c r="F54" s="5">
        <f>ROUND(Source!BA34,O54)</f>
        <v>0</v>
      </c>
      <c r="G54" s="5" t="s">
        <v>82</v>
      </c>
      <c r="H54" s="5" t="s">
        <v>83</v>
      </c>
      <c r="I54" s="5"/>
      <c r="J54" s="5"/>
      <c r="K54" s="5">
        <v>230</v>
      </c>
      <c r="L54" s="5">
        <v>19</v>
      </c>
      <c r="M54" s="5">
        <v>3</v>
      </c>
      <c r="N54" s="5" t="s">
        <v>6</v>
      </c>
      <c r="O54" s="5">
        <v>0</v>
      </c>
      <c r="P54" s="5">
        <f>ROUND(Source!ES34,O54)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  <c r="IF54">
        <v>-1</v>
      </c>
    </row>
    <row r="55" spans="1:240" x14ac:dyDescent="0.2">
      <c r="A55" s="5">
        <v>50</v>
      </c>
      <c r="B55" s="5">
        <v>0</v>
      </c>
      <c r="C55" s="5">
        <v>0</v>
      </c>
      <c r="D55" s="5">
        <v>1</v>
      </c>
      <c r="E55" s="5">
        <v>206</v>
      </c>
      <c r="F55" s="5">
        <f>ROUND(Source!T34,O55)</f>
        <v>0</v>
      </c>
      <c r="G55" s="5" t="s">
        <v>84</v>
      </c>
      <c r="H55" s="5" t="s">
        <v>85</v>
      </c>
      <c r="I55" s="5"/>
      <c r="J55" s="5"/>
      <c r="K55" s="5">
        <v>206</v>
      </c>
      <c r="L55" s="5">
        <v>20</v>
      </c>
      <c r="M55" s="5">
        <v>3</v>
      </c>
      <c r="N55" s="5" t="s">
        <v>6</v>
      </c>
      <c r="O55" s="5">
        <v>0</v>
      </c>
      <c r="P55" s="5">
        <f>ROUND(Source!DL34,O55)</f>
        <v>0</v>
      </c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>
        <v>0</v>
      </c>
      <c r="AA55" s="5">
        <v>1</v>
      </c>
      <c r="AB55" s="5">
        <v>0</v>
      </c>
      <c r="IF55">
        <v>-1</v>
      </c>
    </row>
    <row r="56" spans="1:240" x14ac:dyDescent="0.2">
      <c r="A56" s="5">
        <v>50</v>
      </c>
      <c r="B56" s="5">
        <v>0</v>
      </c>
      <c r="C56" s="5">
        <v>0</v>
      </c>
      <c r="D56" s="5">
        <v>1</v>
      </c>
      <c r="E56" s="5">
        <v>207</v>
      </c>
      <c r="F56" s="5">
        <f>Source!U34</f>
        <v>278.18263499999995</v>
      </c>
      <c r="G56" s="5" t="s">
        <v>86</v>
      </c>
      <c r="H56" s="5" t="s">
        <v>87</v>
      </c>
      <c r="I56" s="5"/>
      <c r="J56" s="5"/>
      <c r="K56" s="5">
        <v>207</v>
      </c>
      <c r="L56" s="5">
        <v>21</v>
      </c>
      <c r="M56" s="5">
        <v>3</v>
      </c>
      <c r="N56" s="5" t="s">
        <v>6</v>
      </c>
      <c r="O56" s="5">
        <v>-1</v>
      </c>
      <c r="P56" s="5">
        <f>Source!DM34</f>
        <v>278.18263499999995</v>
      </c>
      <c r="Q56" s="5"/>
      <c r="R56" s="5"/>
      <c r="S56" s="5"/>
      <c r="T56" s="5"/>
      <c r="U56" s="5"/>
      <c r="V56" s="5"/>
      <c r="W56" s="5">
        <v>278.182635</v>
      </c>
      <c r="X56" s="5">
        <v>1</v>
      </c>
      <c r="Y56" s="5">
        <v>278.182635</v>
      </c>
      <c r="Z56" s="5">
        <v>278.182635</v>
      </c>
      <c r="AA56" s="5">
        <v>1</v>
      </c>
      <c r="AB56" s="5">
        <v>278.182635</v>
      </c>
      <c r="IF56">
        <v>-1</v>
      </c>
    </row>
    <row r="57" spans="1:240" x14ac:dyDescent="0.2">
      <c r="A57" s="5">
        <v>50</v>
      </c>
      <c r="B57" s="5">
        <v>0</v>
      </c>
      <c r="C57" s="5">
        <v>0</v>
      </c>
      <c r="D57" s="5">
        <v>1</v>
      </c>
      <c r="E57" s="5">
        <v>208</v>
      </c>
      <c r="F57" s="5">
        <f>Source!V34</f>
        <v>95.796950999999993</v>
      </c>
      <c r="G57" s="5" t="s">
        <v>88</v>
      </c>
      <c r="H57" s="5" t="s">
        <v>89</v>
      </c>
      <c r="I57" s="5"/>
      <c r="J57" s="5"/>
      <c r="K57" s="5">
        <v>208</v>
      </c>
      <c r="L57" s="5">
        <v>22</v>
      </c>
      <c r="M57" s="5">
        <v>3</v>
      </c>
      <c r="N57" s="5" t="s">
        <v>6</v>
      </c>
      <c r="O57" s="5">
        <v>-1</v>
      </c>
      <c r="P57" s="5">
        <f>Source!DN34</f>
        <v>95.796950999999993</v>
      </c>
      <c r="Q57" s="5"/>
      <c r="R57" s="5"/>
      <c r="S57" s="5"/>
      <c r="T57" s="5"/>
      <c r="U57" s="5"/>
      <c r="V57" s="5"/>
      <c r="W57" s="5">
        <v>95.796950999999993</v>
      </c>
      <c r="X57" s="5">
        <v>1</v>
      </c>
      <c r="Y57" s="5">
        <v>95.796950999999993</v>
      </c>
      <c r="Z57" s="5">
        <v>95.796950999999993</v>
      </c>
      <c r="AA57" s="5">
        <v>1</v>
      </c>
      <c r="AB57" s="5">
        <v>95.796950999999993</v>
      </c>
      <c r="IF57">
        <v>-1</v>
      </c>
    </row>
    <row r="58" spans="1:240" x14ac:dyDescent="0.2">
      <c r="A58" s="5">
        <v>50</v>
      </c>
      <c r="B58" s="5">
        <v>0</v>
      </c>
      <c r="C58" s="5">
        <v>0</v>
      </c>
      <c r="D58" s="5">
        <v>1</v>
      </c>
      <c r="E58" s="5">
        <v>209</v>
      </c>
      <c r="F58" s="5">
        <f>ROUND(Source!W34,O58)</f>
        <v>0</v>
      </c>
      <c r="G58" s="5" t="s">
        <v>90</v>
      </c>
      <c r="H58" s="5" t="s">
        <v>91</v>
      </c>
      <c r="I58" s="5"/>
      <c r="J58" s="5"/>
      <c r="K58" s="5">
        <v>209</v>
      </c>
      <c r="L58" s="5">
        <v>23</v>
      </c>
      <c r="M58" s="5">
        <v>3</v>
      </c>
      <c r="N58" s="5" t="s">
        <v>6</v>
      </c>
      <c r="O58" s="5">
        <v>0</v>
      </c>
      <c r="P58" s="5">
        <f>ROUND(Source!DO34,O58)</f>
        <v>0</v>
      </c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>
        <v>0</v>
      </c>
      <c r="AA58" s="5">
        <v>1</v>
      </c>
      <c r="AB58" s="5">
        <v>0</v>
      </c>
      <c r="IF58">
        <v>-1</v>
      </c>
    </row>
    <row r="59" spans="1:240" x14ac:dyDescent="0.2">
      <c r="A59" s="5">
        <v>50</v>
      </c>
      <c r="B59" s="5">
        <v>0</v>
      </c>
      <c r="C59" s="5">
        <v>0</v>
      </c>
      <c r="D59" s="5">
        <v>1</v>
      </c>
      <c r="E59" s="5">
        <v>233</v>
      </c>
      <c r="F59" s="5">
        <f>ROUND(Source!BD34,O59)</f>
        <v>16406</v>
      </c>
      <c r="G59" s="5" t="s">
        <v>92</v>
      </c>
      <c r="H59" s="5" t="s">
        <v>93</v>
      </c>
      <c r="I59" s="5"/>
      <c r="J59" s="5"/>
      <c r="K59" s="5">
        <v>233</v>
      </c>
      <c r="L59" s="5">
        <v>24</v>
      </c>
      <c r="M59" s="5">
        <v>3</v>
      </c>
      <c r="N59" s="5" t="s">
        <v>6</v>
      </c>
      <c r="O59" s="5">
        <v>0</v>
      </c>
      <c r="P59" s="5">
        <f>ROUND(Source!EV34,O59)</f>
        <v>116807</v>
      </c>
      <c r="Q59" s="5"/>
      <c r="R59" s="5"/>
      <c r="S59" s="5"/>
      <c r="T59" s="5"/>
      <c r="U59" s="5"/>
      <c r="V59" s="5"/>
      <c r="W59" s="5">
        <v>16406</v>
      </c>
      <c r="X59" s="5">
        <v>1</v>
      </c>
      <c r="Y59" s="5">
        <v>16406</v>
      </c>
      <c r="Z59" s="5">
        <v>116807</v>
      </c>
      <c r="AA59" s="5">
        <v>1</v>
      </c>
      <c r="AB59" s="5">
        <v>116807</v>
      </c>
      <c r="IF59">
        <v>-1</v>
      </c>
    </row>
    <row r="60" spans="1:240" x14ac:dyDescent="0.2">
      <c r="A60" s="5">
        <v>50</v>
      </c>
      <c r="B60" s="5">
        <v>0</v>
      </c>
      <c r="C60" s="5">
        <v>0</v>
      </c>
      <c r="D60" s="5">
        <v>1</v>
      </c>
      <c r="E60" s="5">
        <v>210</v>
      </c>
      <c r="F60" s="5">
        <f>ROUND(Source!X34,O60)</f>
        <v>3004</v>
      </c>
      <c r="G60" s="5" t="s">
        <v>94</v>
      </c>
      <c r="H60" s="5" t="s">
        <v>95</v>
      </c>
      <c r="I60" s="5"/>
      <c r="J60" s="5"/>
      <c r="K60" s="5">
        <v>210</v>
      </c>
      <c r="L60" s="5">
        <v>25</v>
      </c>
      <c r="M60" s="5">
        <v>3</v>
      </c>
      <c r="N60" s="5" t="s">
        <v>6</v>
      </c>
      <c r="O60" s="5">
        <v>0</v>
      </c>
      <c r="P60" s="5">
        <f>ROUND(Source!DP34,O60)</f>
        <v>63981</v>
      </c>
      <c r="Q60" s="5"/>
      <c r="R60" s="5"/>
      <c r="S60" s="5"/>
      <c r="T60" s="5"/>
      <c r="U60" s="5"/>
      <c r="V60" s="5"/>
      <c r="W60" s="5">
        <v>3004</v>
      </c>
      <c r="X60" s="5">
        <v>1</v>
      </c>
      <c r="Y60" s="5">
        <v>3004</v>
      </c>
      <c r="Z60" s="5">
        <v>63981</v>
      </c>
      <c r="AA60" s="5">
        <v>1</v>
      </c>
      <c r="AB60" s="5">
        <v>63981</v>
      </c>
      <c r="IF60">
        <v>-1</v>
      </c>
    </row>
    <row r="61" spans="1:240" x14ac:dyDescent="0.2">
      <c r="A61" s="5">
        <v>50</v>
      </c>
      <c r="B61" s="5">
        <v>0</v>
      </c>
      <c r="C61" s="5">
        <v>0</v>
      </c>
      <c r="D61" s="5">
        <v>1</v>
      </c>
      <c r="E61" s="5">
        <v>211</v>
      </c>
      <c r="F61" s="5">
        <f>ROUND(Source!Y34,O61)</f>
        <v>1643</v>
      </c>
      <c r="G61" s="5" t="s">
        <v>96</v>
      </c>
      <c r="H61" s="5" t="s">
        <v>97</v>
      </c>
      <c r="I61" s="5"/>
      <c r="J61" s="5"/>
      <c r="K61" s="5">
        <v>211</v>
      </c>
      <c r="L61" s="5">
        <v>26</v>
      </c>
      <c r="M61" s="5">
        <v>3</v>
      </c>
      <c r="N61" s="5" t="s">
        <v>6</v>
      </c>
      <c r="O61" s="5">
        <v>0</v>
      </c>
      <c r="P61" s="5">
        <f>ROUND(Source!DQ34,O61)</f>
        <v>31466</v>
      </c>
      <c r="Q61" s="5"/>
      <c r="R61" s="5"/>
      <c r="S61" s="5"/>
      <c r="T61" s="5"/>
      <c r="U61" s="5"/>
      <c r="V61" s="5"/>
      <c r="W61" s="5">
        <v>1643</v>
      </c>
      <c r="X61" s="5">
        <v>1</v>
      </c>
      <c r="Y61" s="5">
        <v>1643</v>
      </c>
      <c r="Z61" s="5">
        <v>31466</v>
      </c>
      <c r="AA61" s="5">
        <v>1</v>
      </c>
      <c r="AB61" s="5">
        <v>31466</v>
      </c>
      <c r="IF61">
        <v>-1</v>
      </c>
    </row>
    <row r="62" spans="1:240" x14ac:dyDescent="0.2">
      <c r="A62" s="5">
        <v>50</v>
      </c>
      <c r="B62" s="5">
        <v>0</v>
      </c>
      <c r="C62" s="5">
        <v>0</v>
      </c>
      <c r="D62" s="5">
        <v>1</v>
      </c>
      <c r="E62" s="5">
        <v>224</v>
      </c>
      <c r="F62" s="5">
        <f>ROUND(Source!AR34,O62)</f>
        <v>34537</v>
      </c>
      <c r="G62" s="5" t="s">
        <v>98</v>
      </c>
      <c r="H62" s="5" t="s">
        <v>99</v>
      </c>
      <c r="I62" s="5"/>
      <c r="J62" s="5"/>
      <c r="K62" s="5">
        <v>224</v>
      </c>
      <c r="L62" s="5">
        <v>27</v>
      </c>
      <c r="M62" s="5">
        <v>3</v>
      </c>
      <c r="N62" s="5" t="s">
        <v>6</v>
      </c>
      <c r="O62" s="5">
        <v>0</v>
      </c>
      <c r="P62" s="5">
        <f>ROUND(Source!EJ34,O62)</f>
        <v>340109</v>
      </c>
      <c r="Q62" s="5"/>
      <c r="R62" s="5"/>
      <c r="S62" s="5"/>
      <c r="T62" s="5"/>
      <c r="U62" s="5"/>
      <c r="V62" s="5"/>
      <c r="W62" s="5">
        <v>34537</v>
      </c>
      <c r="X62" s="5">
        <v>1</v>
      </c>
      <c r="Y62" s="5">
        <v>34537</v>
      </c>
      <c r="Z62" s="5">
        <v>340109</v>
      </c>
      <c r="AA62" s="5">
        <v>1</v>
      </c>
      <c r="AB62" s="5">
        <v>340109</v>
      </c>
      <c r="IF62">
        <v>-1</v>
      </c>
    </row>
    <row r="63" spans="1:240" x14ac:dyDescent="0.2">
      <c r="IF63">
        <v>-1</v>
      </c>
    </row>
    <row r="64" spans="1:240" x14ac:dyDescent="0.2">
      <c r="A64" s="3">
        <v>51</v>
      </c>
      <c r="B64" s="3">
        <f>B12</f>
        <v>128</v>
      </c>
      <c r="C64" s="3">
        <f>A12</f>
        <v>1</v>
      </c>
      <c r="D64" s="3">
        <f>ROW(A12)</f>
        <v>12</v>
      </c>
      <c r="E64" s="3"/>
      <c r="F64" s="3" t="str">
        <f>IF(F12&lt;&gt;"",F12,"")</f>
        <v>5.1.1.1 Устройство котлована</v>
      </c>
      <c r="G64" s="3" t="str">
        <f>IF(G12&lt;&gt;"",G12,"")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64" s="3">
        <v>0</v>
      </c>
      <c r="I64" s="3"/>
      <c r="J64" s="3"/>
      <c r="K64" s="3"/>
      <c r="L64" s="3"/>
      <c r="M64" s="3"/>
      <c r="N64" s="3"/>
      <c r="O64" s="3">
        <f t="shared" ref="O64:T64" si="47">ROUND(O34,0)</f>
        <v>29890</v>
      </c>
      <c r="P64" s="3">
        <f t="shared" si="47"/>
        <v>0</v>
      </c>
      <c r="Q64" s="3">
        <f t="shared" si="47"/>
        <v>27701</v>
      </c>
      <c r="R64" s="3">
        <f t="shared" si="47"/>
        <v>1304</v>
      </c>
      <c r="S64" s="3">
        <f t="shared" si="47"/>
        <v>2189</v>
      </c>
      <c r="T64" s="3">
        <f t="shared" si="47"/>
        <v>0</v>
      </c>
      <c r="U64" s="3">
        <f>U34</f>
        <v>278.18263499999995</v>
      </c>
      <c r="V64" s="3">
        <f>V34</f>
        <v>95.796950999999993</v>
      </c>
      <c r="W64" s="3">
        <f>ROUND(W34,0)</f>
        <v>0</v>
      </c>
      <c r="X64" s="3">
        <f>ROUND(X34,0)</f>
        <v>3004</v>
      </c>
      <c r="Y64" s="3">
        <f>ROUND(Y34,0)</f>
        <v>1643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>
        <f t="shared" ref="AO64:BD64" si="48">ROUND(AO34,0)</f>
        <v>0</v>
      </c>
      <c r="AP64" s="3">
        <f t="shared" si="48"/>
        <v>0</v>
      </c>
      <c r="AQ64" s="3">
        <f t="shared" si="48"/>
        <v>0</v>
      </c>
      <c r="AR64" s="3">
        <f t="shared" si="48"/>
        <v>34537</v>
      </c>
      <c r="AS64" s="3">
        <f t="shared" si="48"/>
        <v>34537</v>
      </c>
      <c r="AT64" s="3">
        <f t="shared" si="48"/>
        <v>0</v>
      </c>
      <c r="AU64" s="3">
        <f t="shared" si="48"/>
        <v>0</v>
      </c>
      <c r="AV64" s="3">
        <f t="shared" si="48"/>
        <v>0</v>
      </c>
      <c r="AW64" s="3">
        <f t="shared" si="48"/>
        <v>0</v>
      </c>
      <c r="AX64" s="3">
        <f t="shared" si="48"/>
        <v>0</v>
      </c>
      <c r="AY64" s="3">
        <f t="shared" si="48"/>
        <v>0</v>
      </c>
      <c r="AZ64" s="3">
        <f t="shared" si="48"/>
        <v>0</v>
      </c>
      <c r="BA64" s="3">
        <f t="shared" si="48"/>
        <v>0</v>
      </c>
      <c r="BB64" s="3">
        <f t="shared" si="48"/>
        <v>0</v>
      </c>
      <c r="BC64" s="3">
        <f t="shared" si="48"/>
        <v>0</v>
      </c>
      <c r="BD64" s="3">
        <f t="shared" si="48"/>
        <v>16406</v>
      </c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4">
        <f t="shared" ref="DG64:DL64" si="49">ROUND(DG34,0)</f>
        <v>244662</v>
      </c>
      <c r="DH64" s="4">
        <f t="shared" si="49"/>
        <v>0</v>
      </c>
      <c r="DI64" s="4">
        <f t="shared" si="49"/>
        <v>189207</v>
      </c>
      <c r="DJ64" s="4">
        <f t="shared" si="49"/>
        <v>23899</v>
      </c>
      <c r="DK64" s="4">
        <f t="shared" si="49"/>
        <v>55455</v>
      </c>
      <c r="DL64" s="4">
        <f t="shared" si="49"/>
        <v>0</v>
      </c>
      <c r="DM64" s="4">
        <f>DM34</f>
        <v>278.18263499999995</v>
      </c>
      <c r="DN64" s="4">
        <f>DN34</f>
        <v>95.796950999999993</v>
      </c>
      <c r="DO64" s="4">
        <f>ROUND(DO34,0)</f>
        <v>0</v>
      </c>
      <c r="DP64" s="4">
        <f>ROUND(DP34,0)</f>
        <v>63981</v>
      </c>
      <c r="DQ64" s="4">
        <f>ROUND(DQ34,0)</f>
        <v>31466</v>
      </c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>
        <f t="shared" ref="EG64:EV64" si="50">ROUND(EG34,0)</f>
        <v>0</v>
      </c>
      <c r="EH64" s="4">
        <f t="shared" si="50"/>
        <v>0</v>
      </c>
      <c r="EI64" s="4">
        <f t="shared" si="50"/>
        <v>0</v>
      </c>
      <c r="EJ64" s="4">
        <f t="shared" si="50"/>
        <v>340109</v>
      </c>
      <c r="EK64" s="4">
        <f t="shared" si="50"/>
        <v>340109</v>
      </c>
      <c r="EL64" s="4">
        <f t="shared" si="50"/>
        <v>0</v>
      </c>
      <c r="EM64" s="4">
        <f t="shared" si="50"/>
        <v>0</v>
      </c>
      <c r="EN64" s="4">
        <f t="shared" si="50"/>
        <v>0</v>
      </c>
      <c r="EO64" s="4">
        <f t="shared" si="50"/>
        <v>0</v>
      </c>
      <c r="EP64" s="4">
        <f t="shared" si="50"/>
        <v>0</v>
      </c>
      <c r="EQ64" s="4">
        <f t="shared" si="50"/>
        <v>0</v>
      </c>
      <c r="ER64" s="4">
        <f t="shared" si="50"/>
        <v>0</v>
      </c>
      <c r="ES64" s="4">
        <f t="shared" si="50"/>
        <v>0</v>
      </c>
      <c r="ET64" s="4">
        <f t="shared" si="50"/>
        <v>0</v>
      </c>
      <c r="EU64" s="4">
        <f t="shared" si="50"/>
        <v>0</v>
      </c>
      <c r="EV64" s="4">
        <f t="shared" si="50"/>
        <v>116807</v>
      </c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>
        <v>0</v>
      </c>
      <c r="IF64">
        <v>-1</v>
      </c>
    </row>
    <row r="65" spans="1:240" x14ac:dyDescent="0.2">
      <c r="IF65">
        <v>-1</v>
      </c>
    </row>
    <row r="66" spans="1:240" x14ac:dyDescent="0.2">
      <c r="A66" s="5">
        <v>50</v>
      </c>
      <c r="B66" s="5">
        <v>0</v>
      </c>
      <c r="C66" s="5">
        <v>0</v>
      </c>
      <c r="D66" s="5">
        <v>1</v>
      </c>
      <c r="E66" s="5">
        <v>201</v>
      </c>
      <c r="F66" s="5">
        <f>ROUND(Source!O64,O66)</f>
        <v>29890</v>
      </c>
      <c r="G66" s="5" t="s">
        <v>46</v>
      </c>
      <c r="H66" s="5" t="s">
        <v>47</v>
      </c>
      <c r="I66" s="5"/>
      <c r="J66" s="5"/>
      <c r="K66" s="5">
        <v>201</v>
      </c>
      <c r="L66" s="5">
        <v>1</v>
      </c>
      <c r="M66" s="5">
        <v>3</v>
      </c>
      <c r="N66" s="5" t="s">
        <v>6</v>
      </c>
      <c r="O66" s="5">
        <v>0</v>
      </c>
      <c r="P66" s="5">
        <f>ROUND(Source!DG64,O66)</f>
        <v>244662</v>
      </c>
      <c r="Q66" s="5"/>
      <c r="R66" s="5"/>
      <c r="S66" s="5"/>
      <c r="T66" s="5"/>
      <c r="U66" s="5"/>
      <c r="V66" s="5"/>
      <c r="W66" s="5">
        <v>29890</v>
      </c>
      <c r="X66" s="5">
        <v>1</v>
      </c>
      <c r="Y66" s="5">
        <v>29890</v>
      </c>
      <c r="Z66" s="5">
        <v>244662</v>
      </c>
      <c r="AA66" s="5">
        <v>1</v>
      </c>
      <c r="AB66" s="5">
        <v>244662</v>
      </c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202</v>
      </c>
      <c r="F67" s="5">
        <f>ROUND(Source!P64,O67)</f>
        <v>0</v>
      </c>
      <c r="G67" s="5" t="s">
        <v>48</v>
      </c>
      <c r="H67" s="5" t="s">
        <v>49</v>
      </c>
      <c r="I67" s="5"/>
      <c r="J67" s="5"/>
      <c r="K67" s="5">
        <v>202</v>
      </c>
      <c r="L67" s="5">
        <v>2</v>
      </c>
      <c r="M67" s="5">
        <v>3</v>
      </c>
      <c r="N67" s="5" t="s">
        <v>6</v>
      </c>
      <c r="O67" s="5">
        <v>0</v>
      </c>
      <c r="P67" s="5">
        <f>ROUND(Source!DH64,O67)</f>
        <v>0</v>
      </c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>
        <v>0</v>
      </c>
      <c r="AA67" s="5">
        <v>1</v>
      </c>
      <c r="AB67" s="5">
        <v>0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222</v>
      </c>
      <c r="F68" s="5">
        <f>ROUND(Source!AO64,O68)</f>
        <v>0</v>
      </c>
      <c r="G68" s="5" t="s">
        <v>50</v>
      </c>
      <c r="H68" s="5" t="s">
        <v>51</v>
      </c>
      <c r="I68" s="5"/>
      <c r="J68" s="5"/>
      <c r="K68" s="5">
        <v>222</v>
      </c>
      <c r="L68" s="5">
        <v>3</v>
      </c>
      <c r="M68" s="5">
        <v>3</v>
      </c>
      <c r="N68" s="5" t="s">
        <v>6</v>
      </c>
      <c r="O68" s="5">
        <v>0</v>
      </c>
      <c r="P68" s="5">
        <f>ROUND(Source!EG64,O68)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225</v>
      </c>
      <c r="F69" s="5">
        <f>ROUND(Source!AV64,O69)</f>
        <v>0</v>
      </c>
      <c r="G69" s="5" t="s">
        <v>52</v>
      </c>
      <c r="H69" s="5" t="s">
        <v>53</v>
      </c>
      <c r="I69" s="5"/>
      <c r="J69" s="5"/>
      <c r="K69" s="5">
        <v>225</v>
      </c>
      <c r="L69" s="5">
        <v>4</v>
      </c>
      <c r="M69" s="5">
        <v>3</v>
      </c>
      <c r="N69" s="5" t="s">
        <v>6</v>
      </c>
      <c r="O69" s="5">
        <v>0</v>
      </c>
      <c r="P69" s="5">
        <f>ROUND(Source!EN64,O69)</f>
        <v>0</v>
      </c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>
        <v>0</v>
      </c>
      <c r="AA69" s="5">
        <v>1</v>
      </c>
      <c r="AB69" s="5">
        <v>0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226</v>
      </c>
      <c r="F70" s="5">
        <f>ROUND(Source!AW64,O70)</f>
        <v>0</v>
      </c>
      <c r="G70" s="5" t="s">
        <v>54</v>
      </c>
      <c r="H70" s="5" t="s">
        <v>55</v>
      </c>
      <c r="I70" s="5"/>
      <c r="J70" s="5"/>
      <c r="K70" s="5">
        <v>226</v>
      </c>
      <c r="L70" s="5">
        <v>5</v>
      </c>
      <c r="M70" s="5">
        <v>3</v>
      </c>
      <c r="N70" s="5" t="s">
        <v>6</v>
      </c>
      <c r="O70" s="5">
        <v>0</v>
      </c>
      <c r="P70" s="5">
        <f>ROUND(Source!EO64,O70)</f>
        <v>0</v>
      </c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>
        <v>0</v>
      </c>
      <c r="AA70" s="5">
        <v>1</v>
      </c>
      <c r="AB70" s="5">
        <v>0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227</v>
      </c>
      <c r="F71" s="5">
        <f>ROUND(Source!AX64,O71)</f>
        <v>0</v>
      </c>
      <c r="G71" s="5" t="s">
        <v>56</v>
      </c>
      <c r="H71" s="5" t="s">
        <v>57</v>
      </c>
      <c r="I71" s="5"/>
      <c r="J71" s="5"/>
      <c r="K71" s="5">
        <v>227</v>
      </c>
      <c r="L71" s="5">
        <v>6</v>
      </c>
      <c r="M71" s="5">
        <v>3</v>
      </c>
      <c r="N71" s="5" t="s">
        <v>6</v>
      </c>
      <c r="O71" s="5">
        <v>0</v>
      </c>
      <c r="P71" s="5">
        <f>ROUND(Source!EP64,O71)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  <c r="IF71">
        <v>-1</v>
      </c>
    </row>
    <row r="72" spans="1:240" x14ac:dyDescent="0.2">
      <c r="A72" s="5">
        <v>50</v>
      </c>
      <c r="B72" s="5">
        <v>0</v>
      </c>
      <c r="C72" s="5">
        <v>0</v>
      </c>
      <c r="D72" s="5">
        <v>1</v>
      </c>
      <c r="E72" s="5">
        <v>228</v>
      </c>
      <c r="F72" s="5">
        <f>ROUND(Source!AY64,O72)</f>
        <v>0</v>
      </c>
      <c r="G72" s="5" t="s">
        <v>58</v>
      </c>
      <c r="H72" s="5" t="s">
        <v>59</v>
      </c>
      <c r="I72" s="5"/>
      <c r="J72" s="5"/>
      <c r="K72" s="5">
        <v>228</v>
      </c>
      <c r="L72" s="5">
        <v>7</v>
      </c>
      <c r="M72" s="5">
        <v>3</v>
      </c>
      <c r="N72" s="5" t="s">
        <v>6</v>
      </c>
      <c r="O72" s="5">
        <v>0</v>
      </c>
      <c r="P72" s="5">
        <f>ROUND(Source!EQ64,O72)</f>
        <v>0</v>
      </c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>
        <v>0</v>
      </c>
      <c r="AA72" s="5">
        <v>1</v>
      </c>
      <c r="AB72" s="5">
        <v>0</v>
      </c>
      <c r="IF72">
        <v>-1</v>
      </c>
    </row>
    <row r="73" spans="1:240" x14ac:dyDescent="0.2">
      <c r="A73" s="5">
        <v>50</v>
      </c>
      <c r="B73" s="5">
        <v>0</v>
      </c>
      <c r="C73" s="5">
        <v>0</v>
      </c>
      <c r="D73" s="5">
        <v>1</v>
      </c>
      <c r="E73" s="5">
        <v>216</v>
      </c>
      <c r="F73" s="5">
        <f>ROUND(Source!AP64,O73)</f>
        <v>0</v>
      </c>
      <c r="G73" s="5" t="s">
        <v>60</v>
      </c>
      <c r="H73" s="5" t="s">
        <v>61</v>
      </c>
      <c r="I73" s="5"/>
      <c r="J73" s="5"/>
      <c r="K73" s="5">
        <v>216</v>
      </c>
      <c r="L73" s="5">
        <v>8</v>
      </c>
      <c r="M73" s="5">
        <v>3</v>
      </c>
      <c r="N73" s="5" t="s">
        <v>6</v>
      </c>
      <c r="O73" s="5">
        <v>0</v>
      </c>
      <c r="P73" s="5">
        <f>ROUND(Source!EH64,O73)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IF73">
        <v>-1</v>
      </c>
    </row>
    <row r="74" spans="1:240" x14ac:dyDescent="0.2">
      <c r="A74" s="5">
        <v>50</v>
      </c>
      <c r="B74" s="5">
        <v>0</v>
      </c>
      <c r="C74" s="5">
        <v>0</v>
      </c>
      <c r="D74" s="5">
        <v>1</v>
      </c>
      <c r="E74" s="5">
        <v>223</v>
      </c>
      <c r="F74" s="5">
        <f>ROUND(Source!AQ64,O74)</f>
        <v>0</v>
      </c>
      <c r="G74" s="5" t="s">
        <v>62</v>
      </c>
      <c r="H74" s="5" t="s">
        <v>63</v>
      </c>
      <c r="I74" s="5"/>
      <c r="J74" s="5"/>
      <c r="K74" s="5">
        <v>223</v>
      </c>
      <c r="L74" s="5">
        <v>9</v>
      </c>
      <c r="M74" s="5">
        <v>3</v>
      </c>
      <c r="N74" s="5" t="s">
        <v>6</v>
      </c>
      <c r="O74" s="5">
        <v>0</v>
      </c>
      <c r="P74" s="5">
        <f>ROUND(Source!EI64,O74)</f>
        <v>0</v>
      </c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>
        <v>0</v>
      </c>
      <c r="AA74" s="5">
        <v>1</v>
      </c>
      <c r="AB74" s="5">
        <v>0</v>
      </c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229</v>
      </c>
      <c r="F75" s="5">
        <f>ROUND(Source!AZ64,O75)</f>
        <v>0</v>
      </c>
      <c r="G75" s="5" t="s">
        <v>64</v>
      </c>
      <c r="H75" s="5" t="s">
        <v>65</v>
      </c>
      <c r="I75" s="5"/>
      <c r="J75" s="5"/>
      <c r="K75" s="5">
        <v>229</v>
      </c>
      <c r="L75" s="5">
        <v>10</v>
      </c>
      <c r="M75" s="5">
        <v>3</v>
      </c>
      <c r="N75" s="5" t="s">
        <v>6</v>
      </c>
      <c r="O75" s="5">
        <v>0</v>
      </c>
      <c r="P75" s="5">
        <f>ROUND(Source!ER64,O75)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203</v>
      </c>
      <c r="F76" s="5">
        <f>ROUND(Source!Q64,O76)</f>
        <v>27701</v>
      </c>
      <c r="G76" s="5" t="s">
        <v>66</v>
      </c>
      <c r="H76" s="5" t="s">
        <v>67</v>
      </c>
      <c r="I76" s="5"/>
      <c r="J76" s="5"/>
      <c r="K76" s="5">
        <v>203</v>
      </c>
      <c r="L76" s="5">
        <v>11</v>
      </c>
      <c r="M76" s="5">
        <v>3</v>
      </c>
      <c r="N76" s="5" t="s">
        <v>6</v>
      </c>
      <c r="O76" s="5">
        <v>0</v>
      </c>
      <c r="P76" s="5">
        <f>ROUND(Source!DI64,O76)</f>
        <v>189207</v>
      </c>
      <c r="Q76" s="5"/>
      <c r="R76" s="5"/>
      <c r="S76" s="5"/>
      <c r="T76" s="5"/>
      <c r="U76" s="5"/>
      <c r="V76" s="5"/>
      <c r="W76" s="5">
        <v>27701</v>
      </c>
      <c r="X76" s="5">
        <v>1</v>
      </c>
      <c r="Y76" s="5">
        <v>27701</v>
      </c>
      <c r="Z76" s="5">
        <v>189207</v>
      </c>
      <c r="AA76" s="5">
        <v>1</v>
      </c>
      <c r="AB76" s="5">
        <v>189207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231</v>
      </c>
      <c r="F77" s="5">
        <f>ROUND(Source!BB64,O77)</f>
        <v>0</v>
      </c>
      <c r="G77" s="5" t="s">
        <v>68</v>
      </c>
      <c r="H77" s="5" t="s">
        <v>69</v>
      </c>
      <c r="I77" s="5"/>
      <c r="J77" s="5"/>
      <c r="K77" s="5">
        <v>231</v>
      </c>
      <c r="L77" s="5">
        <v>12</v>
      </c>
      <c r="M77" s="5">
        <v>3</v>
      </c>
      <c r="N77" s="5" t="s">
        <v>6</v>
      </c>
      <c r="O77" s="5">
        <v>0</v>
      </c>
      <c r="P77" s="5">
        <f>ROUND(Source!ET64,O77)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204</v>
      </c>
      <c r="F78" s="5">
        <f>ROUND(Source!R64,O78)</f>
        <v>1304</v>
      </c>
      <c r="G78" s="5" t="s">
        <v>70</v>
      </c>
      <c r="H78" s="5" t="s">
        <v>71</v>
      </c>
      <c r="I78" s="5"/>
      <c r="J78" s="5"/>
      <c r="K78" s="5">
        <v>204</v>
      </c>
      <c r="L78" s="5">
        <v>13</v>
      </c>
      <c r="M78" s="5">
        <v>3</v>
      </c>
      <c r="N78" s="5" t="s">
        <v>6</v>
      </c>
      <c r="O78" s="5">
        <v>0</v>
      </c>
      <c r="P78" s="5">
        <f>ROUND(Source!DJ64,O78)</f>
        <v>23899</v>
      </c>
      <c r="Q78" s="5"/>
      <c r="R78" s="5"/>
      <c r="S78" s="5"/>
      <c r="T78" s="5"/>
      <c r="U78" s="5"/>
      <c r="V78" s="5"/>
      <c r="W78" s="5">
        <v>1304</v>
      </c>
      <c r="X78" s="5">
        <v>1</v>
      </c>
      <c r="Y78" s="5">
        <v>1304</v>
      </c>
      <c r="Z78" s="5">
        <v>23899</v>
      </c>
      <c r="AA78" s="5">
        <v>1</v>
      </c>
      <c r="AB78" s="5">
        <v>23899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205</v>
      </c>
      <c r="F79" s="5">
        <f>ROUND(Source!S64,O79)</f>
        <v>2189</v>
      </c>
      <c r="G79" s="5" t="s">
        <v>72</v>
      </c>
      <c r="H79" s="5" t="s">
        <v>73</v>
      </c>
      <c r="I79" s="5"/>
      <c r="J79" s="5"/>
      <c r="K79" s="5">
        <v>205</v>
      </c>
      <c r="L79" s="5">
        <v>14</v>
      </c>
      <c r="M79" s="5">
        <v>3</v>
      </c>
      <c r="N79" s="5" t="s">
        <v>6</v>
      </c>
      <c r="O79" s="5">
        <v>0</v>
      </c>
      <c r="P79" s="5">
        <f>ROUND(Source!DK64,O79)</f>
        <v>55455</v>
      </c>
      <c r="Q79" s="5"/>
      <c r="R79" s="5"/>
      <c r="S79" s="5"/>
      <c r="T79" s="5"/>
      <c r="U79" s="5"/>
      <c r="V79" s="5"/>
      <c r="W79" s="5">
        <v>2189</v>
      </c>
      <c r="X79" s="5">
        <v>1</v>
      </c>
      <c r="Y79" s="5">
        <v>2189</v>
      </c>
      <c r="Z79" s="5">
        <v>55455</v>
      </c>
      <c r="AA79" s="5">
        <v>1</v>
      </c>
      <c r="AB79" s="5">
        <v>55455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232</v>
      </c>
      <c r="F80" s="5">
        <f>ROUND(Source!BC64,O80)</f>
        <v>0</v>
      </c>
      <c r="G80" s="5" t="s">
        <v>74</v>
      </c>
      <c r="H80" s="5" t="s">
        <v>75</v>
      </c>
      <c r="I80" s="5"/>
      <c r="J80" s="5"/>
      <c r="K80" s="5">
        <v>232</v>
      </c>
      <c r="L80" s="5">
        <v>15</v>
      </c>
      <c r="M80" s="5">
        <v>3</v>
      </c>
      <c r="N80" s="5" t="s">
        <v>6</v>
      </c>
      <c r="O80" s="5">
        <v>0</v>
      </c>
      <c r="P80" s="5">
        <f>ROUND(Source!EU64,O80)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  <c r="IF80">
        <v>-1</v>
      </c>
    </row>
    <row r="81" spans="1:240" x14ac:dyDescent="0.2">
      <c r="A81" s="5">
        <v>50</v>
      </c>
      <c r="B81" s="5">
        <v>0</v>
      </c>
      <c r="C81" s="5">
        <v>0</v>
      </c>
      <c r="D81" s="5">
        <v>1</v>
      </c>
      <c r="E81" s="5">
        <v>214</v>
      </c>
      <c r="F81" s="5">
        <f>ROUND(Source!AS64,O81)</f>
        <v>34537</v>
      </c>
      <c r="G81" s="5" t="s">
        <v>76</v>
      </c>
      <c r="H81" s="5" t="s">
        <v>77</v>
      </c>
      <c r="I81" s="5"/>
      <c r="J81" s="5"/>
      <c r="K81" s="5">
        <v>214</v>
      </c>
      <c r="L81" s="5">
        <v>16</v>
      </c>
      <c r="M81" s="5">
        <v>3</v>
      </c>
      <c r="N81" s="5" t="s">
        <v>6</v>
      </c>
      <c r="O81" s="5">
        <v>0</v>
      </c>
      <c r="P81" s="5">
        <f>ROUND(Source!EK64,O81)</f>
        <v>340109</v>
      </c>
      <c r="Q81" s="5"/>
      <c r="R81" s="5"/>
      <c r="S81" s="5"/>
      <c r="T81" s="5"/>
      <c r="U81" s="5"/>
      <c r="V81" s="5"/>
      <c r="W81" s="5">
        <v>34537</v>
      </c>
      <c r="X81" s="5">
        <v>1</v>
      </c>
      <c r="Y81" s="5">
        <v>34537</v>
      </c>
      <c r="Z81" s="5">
        <v>340109</v>
      </c>
      <c r="AA81" s="5">
        <v>1</v>
      </c>
      <c r="AB81" s="5">
        <v>340109</v>
      </c>
      <c r="IF81">
        <v>-1</v>
      </c>
    </row>
    <row r="82" spans="1:240" x14ac:dyDescent="0.2">
      <c r="A82" s="5">
        <v>50</v>
      </c>
      <c r="B82" s="5">
        <v>0</v>
      </c>
      <c r="C82" s="5">
        <v>0</v>
      </c>
      <c r="D82" s="5">
        <v>1</v>
      </c>
      <c r="E82" s="5">
        <v>215</v>
      </c>
      <c r="F82" s="5">
        <f>ROUND(Source!AT64,O82)</f>
        <v>0</v>
      </c>
      <c r="G82" s="5" t="s">
        <v>78</v>
      </c>
      <c r="H82" s="5" t="s">
        <v>79</v>
      </c>
      <c r="I82" s="5"/>
      <c r="J82" s="5"/>
      <c r="K82" s="5">
        <v>215</v>
      </c>
      <c r="L82" s="5">
        <v>17</v>
      </c>
      <c r="M82" s="5">
        <v>3</v>
      </c>
      <c r="N82" s="5" t="s">
        <v>6</v>
      </c>
      <c r="O82" s="5">
        <v>0</v>
      </c>
      <c r="P82" s="5">
        <f>ROUND(Source!EL64,O82)</f>
        <v>0</v>
      </c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>
        <v>0</v>
      </c>
      <c r="AA82" s="5">
        <v>1</v>
      </c>
      <c r="AB82" s="5">
        <v>0</v>
      </c>
      <c r="IF82">
        <v>-1</v>
      </c>
    </row>
    <row r="83" spans="1:240" x14ac:dyDescent="0.2">
      <c r="A83" s="5">
        <v>50</v>
      </c>
      <c r="B83" s="5">
        <v>0</v>
      </c>
      <c r="C83" s="5">
        <v>0</v>
      </c>
      <c r="D83" s="5">
        <v>1</v>
      </c>
      <c r="E83" s="5">
        <v>217</v>
      </c>
      <c r="F83" s="5">
        <f>ROUND(Source!AU64,O83)</f>
        <v>0</v>
      </c>
      <c r="G83" s="5" t="s">
        <v>80</v>
      </c>
      <c r="H83" s="5" t="s">
        <v>81</v>
      </c>
      <c r="I83" s="5"/>
      <c r="J83" s="5"/>
      <c r="K83" s="5">
        <v>217</v>
      </c>
      <c r="L83" s="5">
        <v>18</v>
      </c>
      <c r="M83" s="5">
        <v>3</v>
      </c>
      <c r="N83" s="5" t="s">
        <v>6</v>
      </c>
      <c r="O83" s="5">
        <v>0</v>
      </c>
      <c r="P83" s="5">
        <f>ROUND(Source!EM64,O83)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230</v>
      </c>
      <c r="F84" s="5">
        <f>ROUND(Source!BA64,O84)</f>
        <v>0</v>
      </c>
      <c r="G84" s="5" t="s">
        <v>82</v>
      </c>
      <c r="H84" s="5" t="s">
        <v>83</v>
      </c>
      <c r="I84" s="5"/>
      <c r="J84" s="5"/>
      <c r="K84" s="5">
        <v>230</v>
      </c>
      <c r="L84" s="5">
        <v>19</v>
      </c>
      <c r="M84" s="5">
        <v>3</v>
      </c>
      <c r="N84" s="5" t="s">
        <v>6</v>
      </c>
      <c r="O84" s="5">
        <v>0</v>
      </c>
      <c r="P84" s="5">
        <f>ROUND(Source!ES64,O84)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206</v>
      </c>
      <c r="F85" s="5">
        <f>ROUND(Source!T64,O85)</f>
        <v>0</v>
      </c>
      <c r="G85" s="5" t="s">
        <v>84</v>
      </c>
      <c r="H85" s="5" t="s">
        <v>85</v>
      </c>
      <c r="I85" s="5"/>
      <c r="J85" s="5"/>
      <c r="K85" s="5">
        <v>206</v>
      </c>
      <c r="L85" s="5">
        <v>20</v>
      </c>
      <c r="M85" s="5">
        <v>3</v>
      </c>
      <c r="N85" s="5" t="s">
        <v>6</v>
      </c>
      <c r="O85" s="5">
        <v>0</v>
      </c>
      <c r="P85" s="5">
        <f>ROUND(Source!DL64,O85)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207</v>
      </c>
      <c r="F86" s="5">
        <f>Source!U64</f>
        <v>278.18263499999995</v>
      </c>
      <c r="G86" s="5" t="s">
        <v>86</v>
      </c>
      <c r="H86" s="5" t="s">
        <v>87</v>
      </c>
      <c r="I86" s="5"/>
      <c r="J86" s="5"/>
      <c r="K86" s="5">
        <v>207</v>
      </c>
      <c r="L86" s="5">
        <v>21</v>
      </c>
      <c r="M86" s="5">
        <v>3</v>
      </c>
      <c r="N86" s="5" t="s">
        <v>6</v>
      </c>
      <c r="O86" s="5">
        <v>-1</v>
      </c>
      <c r="P86" s="5">
        <f>Source!DM64</f>
        <v>278.18263499999995</v>
      </c>
      <c r="Q86" s="5"/>
      <c r="R86" s="5"/>
      <c r="S86" s="5"/>
      <c r="T86" s="5"/>
      <c r="U86" s="5"/>
      <c r="V86" s="5"/>
      <c r="W86" s="5">
        <v>278.182635</v>
      </c>
      <c r="X86" s="5">
        <v>1</v>
      </c>
      <c r="Y86" s="5">
        <v>278.182635</v>
      </c>
      <c r="Z86" s="5">
        <v>278.182635</v>
      </c>
      <c r="AA86" s="5">
        <v>1</v>
      </c>
      <c r="AB86" s="5">
        <v>278.182635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208</v>
      </c>
      <c r="F87" s="5">
        <f>Source!V64</f>
        <v>95.796950999999993</v>
      </c>
      <c r="G87" s="5" t="s">
        <v>88</v>
      </c>
      <c r="H87" s="5" t="s">
        <v>89</v>
      </c>
      <c r="I87" s="5"/>
      <c r="J87" s="5"/>
      <c r="K87" s="5">
        <v>208</v>
      </c>
      <c r="L87" s="5">
        <v>22</v>
      </c>
      <c r="M87" s="5">
        <v>3</v>
      </c>
      <c r="N87" s="5" t="s">
        <v>6</v>
      </c>
      <c r="O87" s="5">
        <v>-1</v>
      </c>
      <c r="P87" s="5">
        <f>Source!DN64</f>
        <v>95.796950999999993</v>
      </c>
      <c r="Q87" s="5"/>
      <c r="R87" s="5"/>
      <c r="S87" s="5"/>
      <c r="T87" s="5"/>
      <c r="U87" s="5"/>
      <c r="V87" s="5"/>
      <c r="W87" s="5">
        <v>95.796950999999993</v>
      </c>
      <c r="X87" s="5">
        <v>1</v>
      </c>
      <c r="Y87" s="5">
        <v>95.796950999999993</v>
      </c>
      <c r="Z87" s="5">
        <v>95.796950999999993</v>
      </c>
      <c r="AA87" s="5">
        <v>1</v>
      </c>
      <c r="AB87" s="5">
        <v>95.796950999999993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209</v>
      </c>
      <c r="F88" s="5">
        <f>ROUND(Source!W64,O88)</f>
        <v>0</v>
      </c>
      <c r="G88" s="5" t="s">
        <v>90</v>
      </c>
      <c r="H88" s="5" t="s">
        <v>91</v>
      </c>
      <c r="I88" s="5"/>
      <c r="J88" s="5"/>
      <c r="K88" s="5">
        <v>209</v>
      </c>
      <c r="L88" s="5">
        <v>23</v>
      </c>
      <c r="M88" s="5">
        <v>3</v>
      </c>
      <c r="N88" s="5" t="s">
        <v>6</v>
      </c>
      <c r="O88" s="5">
        <v>0</v>
      </c>
      <c r="P88" s="5">
        <f>ROUND(Source!DO64,O88)</f>
        <v>0</v>
      </c>
      <c r="Q88" s="5"/>
      <c r="R88" s="5"/>
      <c r="S88" s="5"/>
      <c r="T88" s="5"/>
      <c r="U88" s="5"/>
      <c r="V88" s="5"/>
      <c r="W88" s="5">
        <v>0</v>
      </c>
      <c r="X88" s="5">
        <v>1</v>
      </c>
      <c r="Y88" s="5">
        <v>0</v>
      </c>
      <c r="Z88" s="5">
        <v>0</v>
      </c>
      <c r="AA88" s="5">
        <v>1</v>
      </c>
      <c r="AB88" s="5">
        <v>0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233</v>
      </c>
      <c r="F89" s="5">
        <f>ROUND(Source!BD64,O89)</f>
        <v>16406</v>
      </c>
      <c r="G89" s="5" t="s">
        <v>92</v>
      </c>
      <c r="H89" s="5" t="s">
        <v>93</v>
      </c>
      <c r="I89" s="5"/>
      <c r="J89" s="5"/>
      <c r="K89" s="5">
        <v>233</v>
      </c>
      <c r="L89" s="5">
        <v>24</v>
      </c>
      <c r="M89" s="5">
        <v>3</v>
      </c>
      <c r="N89" s="5" t="s">
        <v>6</v>
      </c>
      <c r="O89" s="5">
        <v>0</v>
      </c>
      <c r="P89" s="5">
        <f>ROUND(Source!EV64,O89)</f>
        <v>116807</v>
      </c>
      <c r="Q89" s="5"/>
      <c r="R89" s="5"/>
      <c r="S89" s="5"/>
      <c r="T89" s="5"/>
      <c r="U89" s="5"/>
      <c r="V89" s="5"/>
      <c r="W89" s="5">
        <v>16406</v>
      </c>
      <c r="X89" s="5">
        <v>1</v>
      </c>
      <c r="Y89" s="5">
        <v>16406</v>
      </c>
      <c r="Z89" s="5">
        <v>116807</v>
      </c>
      <c r="AA89" s="5">
        <v>1</v>
      </c>
      <c r="AB89" s="5">
        <v>116807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210</v>
      </c>
      <c r="F90" s="5">
        <f>ROUND(Source!X64,O90)</f>
        <v>3004</v>
      </c>
      <c r="G90" s="5" t="s">
        <v>94</v>
      </c>
      <c r="H90" s="5" t="s">
        <v>95</v>
      </c>
      <c r="I90" s="5"/>
      <c r="J90" s="5"/>
      <c r="K90" s="5">
        <v>210</v>
      </c>
      <c r="L90" s="5">
        <v>25</v>
      </c>
      <c r="M90" s="5">
        <v>3</v>
      </c>
      <c r="N90" s="5" t="s">
        <v>6</v>
      </c>
      <c r="O90" s="5">
        <v>0</v>
      </c>
      <c r="P90" s="5">
        <f>ROUND(Source!DP64,O90)</f>
        <v>63981</v>
      </c>
      <c r="Q90" s="5"/>
      <c r="R90" s="5"/>
      <c r="S90" s="5"/>
      <c r="T90" s="5"/>
      <c r="U90" s="5"/>
      <c r="V90" s="5"/>
      <c r="W90" s="5">
        <v>3004</v>
      </c>
      <c r="X90" s="5">
        <v>1</v>
      </c>
      <c r="Y90" s="5">
        <v>3004</v>
      </c>
      <c r="Z90" s="5">
        <v>63981</v>
      </c>
      <c r="AA90" s="5">
        <v>1</v>
      </c>
      <c r="AB90" s="5">
        <v>63981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211</v>
      </c>
      <c r="F91" s="5">
        <f>ROUND(Source!Y64,O91)</f>
        <v>1643</v>
      </c>
      <c r="G91" s="5" t="s">
        <v>96</v>
      </c>
      <c r="H91" s="5" t="s">
        <v>97</v>
      </c>
      <c r="I91" s="5"/>
      <c r="J91" s="5"/>
      <c r="K91" s="5">
        <v>211</v>
      </c>
      <c r="L91" s="5">
        <v>26</v>
      </c>
      <c r="M91" s="5">
        <v>3</v>
      </c>
      <c r="N91" s="5" t="s">
        <v>6</v>
      </c>
      <c r="O91" s="5">
        <v>0</v>
      </c>
      <c r="P91" s="5">
        <f>ROUND(Source!DQ64,O91)</f>
        <v>31466</v>
      </c>
      <c r="Q91" s="5"/>
      <c r="R91" s="5"/>
      <c r="S91" s="5"/>
      <c r="T91" s="5"/>
      <c r="U91" s="5"/>
      <c r="V91" s="5"/>
      <c r="W91" s="5">
        <v>1643</v>
      </c>
      <c r="X91" s="5">
        <v>1</v>
      </c>
      <c r="Y91" s="5">
        <v>1643</v>
      </c>
      <c r="Z91" s="5">
        <v>31466</v>
      </c>
      <c r="AA91" s="5">
        <v>1</v>
      </c>
      <c r="AB91" s="5">
        <v>31466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224</v>
      </c>
      <c r="F92" s="5">
        <f>ROUND(Source!AR64,O92)</f>
        <v>34537</v>
      </c>
      <c r="G92" s="5" t="s">
        <v>98</v>
      </c>
      <c r="H92" s="5" t="s">
        <v>99</v>
      </c>
      <c r="I92" s="5"/>
      <c r="J92" s="5"/>
      <c r="K92" s="5">
        <v>224</v>
      </c>
      <c r="L92" s="5">
        <v>27</v>
      </c>
      <c r="M92" s="5">
        <v>3</v>
      </c>
      <c r="N92" s="5" t="s">
        <v>6</v>
      </c>
      <c r="O92" s="5">
        <v>0</v>
      </c>
      <c r="P92" s="5">
        <f>ROUND(Source!EJ64,O92)</f>
        <v>340109</v>
      </c>
      <c r="Q92" s="5"/>
      <c r="R92" s="5"/>
      <c r="S92" s="5"/>
      <c r="T92" s="5"/>
      <c r="U92" s="5"/>
      <c r="V92" s="5"/>
      <c r="W92" s="5">
        <v>34537</v>
      </c>
      <c r="X92" s="5">
        <v>1</v>
      </c>
      <c r="Y92" s="5">
        <v>34537</v>
      </c>
      <c r="Z92" s="5">
        <v>340109</v>
      </c>
      <c r="AA92" s="5">
        <v>1</v>
      </c>
      <c r="AB92" s="5">
        <v>340109</v>
      </c>
      <c r="IF92">
        <v>-1</v>
      </c>
    </row>
    <row r="93" spans="1:240" x14ac:dyDescent="0.2">
      <c r="IF93">
        <v>-1</v>
      </c>
    </row>
    <row r="94" spans="1:240" x14ac:dyDescent="0.2">
      <c r="IF94">
        <v>-1</v>
      </c>
    </row>
    <row r="95" spans="1:240" x14ac:dyDescent="0.2">
      <c r="A95">
        <v>70</v>
      </c>
      <c r="B95">
        <v>1</v>
      </c>
      <c r="D95">
        <v>1</v>
      </c>
      <c r="E95" t="s">
        <v>100</v>
      </c>
      <c r="F95" t="s">
        <v>101</v>
      </c>
      <c r="G95">
        <v>1</v>
      </c>
      <c r="H95">
        <v>0</v>
      </c>
      <c r="I95" t="s">
        <v>102</v>
      </c>
      <c r="J95">
        <v>0</v>
      </c>
      <c r="K95">
        <v>0</v>
      </c>
      <c r="L95" t="s">
        <v>6</v>
      </c>
      <c r="M95" t="s">
        <v>6</v>
      </c>
      <c r="N95">
        <v>0</v>
      </c>
      <c r="O95">
        <v>1</v>
      </c>
      <c r="P95" t="s">
        <v>103</v>
      </c>
      <c r="IF95">
        <v>-1</v>
      </c>
    </row>
    <row r="96" spans="1:240" x14ac:dyDescent="0.2">
      <c r="A96">
        <v>70</v>
      </c>
      <c r="B96">
        <v>1</v>
      </c>
      <c r="D96">
        <v>2</v>
      </c>
      <c r="E96" t="s">
        <v>104</v>
      </c>
      <c r="F96" t="s">
        <v>105</v>
      </c>
      <c r="G96">
        <v>0</v>
      </c>
      <c r="H96">
        <v>0</v>
      </c>
      <c r="I96" t="s">
        <v>102</v>
      </c>
      <c r="J96">
        <v>0</v>
      </c>
      <c r="K96">
        <v>0</v>
      </c>
      <c r="L96" t="s">
        <v>6</v>
      </c>
      <c r="M96" t="s">
        <v>6</v>
      </c>
      <c r="N96">
        <v>0</v>
      </c>
      <c r="O96">
        <v>0</v>
      </c>
      <c r="P96" t="s">
        <v>106</v>
      </c>
      <c r="IF96">
        <v>-1</v>
      </c>
    </row>
    <row r="97" spans="1:240" x14ac:dyDescent="0.2">
      <c r="A97">
        <v>70</v>
      </c>
      <c r="B97">
        <v>1</v>
      </c>
      <c r="D97">
        <v>3</v>
      </c>
      <c r="E97" t="s">
        <v>107</v>
      </c>
      <c r="F97" t="s">
        <v>108</v>
      </c>
      <c r="G97">
        <v>0</v>
      </c>
      <c r="H97">
        <v>0</v>
      </c>
      <c r="I97" t="s">
        <v>102</v>
      </c>
      <c r="J97">
        <v>0</v>
      </c>
      <c r="K97">
        <v>0</v>
      </c>
      <c r="L97" t="s">
        <v>6</v>
      </c>
      <c r="M97" t="s">
        <v>6</v>
      </c>
      <c r="N97">
        <v>0</v>
      </c>
      <c r="O97">
        <v>0</v>
      </c>
      <c r="P97" t="s">
        <v>109</v>
      </c>
      <c r="IF97">
        <v>-1</v>
      </c>
    </row>
    <row r="98" spans="1:240" x14ac:dyDescent="0.2">
      <c r="A98">
        <v>70</v>
      </c>
      <c r="B98">
        <v>1</v>
      </c>
      <c r="D98">
        <v>4</v>
      </c>
      <c r="E98" t="s">
        <v>110</v>
      </c>
      <c r="F98" t="s">
        <v>111</v>
      </c>
      <c r="G98">
        <v>0</v>
      </c>
      <c r="H98">
        <v>0</v>
      </c>
      <c r="I98" t="s">
        <v>102</v>
      </c>
      <c r="J98">
        <v>0</v>
      </c>
      <c r="K98">
        <v>0</v>
      </c>
      <c r="L98" t="s">
        <v>6</v>
      </c>
      <c r="M98" t="s">
        <v>6</v>
      </c>
      <c r="N98">
        <v>0</v>
      </c>
      <c r="O98">
        <v>0</v>
      </c>
      <c r="P98" t="s">
        <v>112</v>
      </c>
      <c r="IF98">
        <v>-1</v>
      </c>
    </row>
    <row r="99" spans="1:240" x14ac:dyDescent="0.2">
      <c r="A99">
        <v>70</v>
      </c>
      <c r="B99">
        <v>1</v>
      </c>
      <c r="D99">
        <v>5</v>
      </c>
      <c r="E99" t="s">
        <v>113</v>
      </c>
      <c r="F99" t="s">
        <v>114</v>
      </c>
      <c r="G99">
        <v>0</v>
      </c>
      <c r="H99">
        <v>0</v>
      </c>
      <c r="I99" t="s">
        <v>102</v>
      </c>
      <c r="J99">
        <v>0</v>
      </c>
      <c r="K99">
        <v>0</v>
      </c>
      <c r="L99" t="s">
        <v>6</v>
      </c>
      <c r="M99" t="s">
        <v>6</v>
      </c>
      <c r="N99">
        <v>0</v>
      </c>
      <c r="O99">
        <v>0</v>
      </c>
      <c r="P99" t="s">
        <v>115</v>
      </c>
      <c r="IF99">
        <v>-1</v>
      </c>
    </row>
    <row r="100" spans="1:240" x14ac:dyDescent="0.2">
      <c r="A100">
        <v>70</v>
      </c>
      <c r="B100">
        <v>1</v>
      </c>
      <c r="D100">
        <v>6</v>
      </c>
      <c r="E100" t="s">
        <v>116</v>
      </c>
      <c r="F100" t="s">
        <v>117</v>
      </c>
      <c r="G100">
        <v>0</v>
      </c>
      <c r="H100">
        <v>0</v>
      </c>
      <c r="I100" t="s">
        <v>102</v>
      </c>
      <c r="J100">
        <v>0</v>
      </c>
      <c r="K100">
        <v>0</v>
      </c>
      <c r="L100" t="s">
        <v>6</v>
      </c>
      <c r="M100" t="s">
        <v>6</v>
      </c>
      <c r="N100">
        <v>0</v>
      </c>
      <c r="O100">
        <v>0</v>
      </c>
      <c r="P100" t="s">
        <v>118</v>
      </c>
      <c r="IF100">
        <v>-1</v>
      </c>
    </row>
    <row r="101" spans="1:240" x14ac:dyDescent="0.2">
      <c r="A101">
        <v>70</v>
      </c>
      <c r="B101">
        <v>1</v>
      </c>
      <c r="D101">
        <v>7</v>
      </c>
      <c r="E101" t="s">
        <v>119</v>
      </c>
      <c r="F101" t="s">
        <v>120</v>
      </c>
      <c r="G101">
        <v>0</v>
      </c>
      <c r="H101">
        <v>0</v>
      </c>
      <c r="I101" t="s">
        <v>102</v>
      </c>
      <c r="J101">
        <v>0</v>
      </c>
      <c r="K101">
        <v>0</v>
      </c>
      <c r="L101" t="s">
        <v>6</v>
      </c>
      <c r="M101" t="s">
        <v>6</v>
      </c>
      <c r="N101">
        <v>0</v>
      </c>
      <c r="O101">
        <v>0</v>
      </c>
      <c r="P101" t="s">
        <v>121</v>
      </c>
      <c r="IF101">
        <v>-1</v>
      </c>
    </row>
    <row r="102" spans="1:240" x14ac:dyDescent="0.2">
      <c r="A102">
        <v>70</v>
      </c>
      <c r="B102">
        <v>1</v>
      </c>
      <c r="D102">
        <v>8</v>
      </c>
      <c r="E102" t="s">
        <v>122</v>
      </c>
      <c r="F102" t="s">
        <v>123</v>
      </c>
      <c r="G102">
        <v>0</v>
      </c>
      <c r="H102">
        <v>0</v>
      </c>
      <c r="I102" t="s">
        <v>102</v>
      </c>
      <c r="J102">
        <v>0</v>
      </c>
      <c r="K102">
        <v>0</v>
      </c>
      <c r="L102" t="s">
        <v>6</v>
      </c>
      <c r="M102" t="s">
        <v>6</v>
      </c>
      <c r="N102">
        <v>0</v>
      </c>
      <c r="O102">
        <v>0</v>
      </c>
      <c r="P102" t="s">
        <v>124</v>
      </c>
      <c r="IF102">
        <v>-1</v>
      </c>
    </row>
    <row r="103" spans="1:240" x14ac:dyDescent="0.2">
      <c r="A103">
        <v>70</v>
      </c>
      <c r="B103">
        <v>1</v>
      </c>
      <c r="D103">
        <v>9</v>
      </c>
      <c r="E103" t="s">
        <v>125</v>
      </c>
      <c r="F103" t="s">
        <v>126</v>
      </c>
      <c r="G103">
        <v>0</v>
      </c>
      <c r="H103">
        <v>0</v>
      </c>
      <c r="I103" t="s">
        <v>102</v>
      </c>
      <c r="J103">
        <v>0</v>
      </c>
      <c r="K103">
        <v>0</v>
      </c>
      <c r="L103" t="s">
        <v>6</v>
      </c>
      <c r="M103" t="s">
        <v>6</v>
      </c>
      <c r="N103">
        <v>0</v>
      </c>
      <c r="O103">
        <v>0</v>
      </c>
      <c r="P103" t="s">
        <v>127</v>
      </c>
      <c r="IF103">
        <v>-1</v>
      </c>
    </row>
    <row r="104" spans="1:240" x14ac:dyDescent="0.2">
      <c r="A104">
        <v>70</v>
      </c>
      <c r="B104">
        <v>1</v>
      </c>
      <c r="D104">
        <v>1</v>
      </c>
      <c r="E104" t="s">
        <v>128</v>
      </c>
      <c r="F104" t="s">
        <v>129</v>
      </c>
      <c r="G104">
        <v>1</v>
      </c>
      <c r="H104">
        <v>1</v>
      </c>
      <c r="I104" t="s">
        <v>102</v>
      </c>
      <c r="J104">
        <v>0</v>
      </c>
      <c r="K104">
        <v>0</v>
      </c>
      <c r="L104" t="s">
        <v>6</v>
      </c>
      <c r="M104" t="s">
        <v>6</v>
      </c>
      <c r="N104">
        <v>0</v>
      </c>
      <c r="O104">
        <v>1</v>
      </c>
      <c r="P104" t="s">
        <v>129</v>
      </c>
      <c r="IF104">
        <v>-1</v>
      </c>
    </row>
    <row r="105" spans="1:240" x14ac:dyDescent="0.2">
      <c r="A105">
        <v>70</v>
      </c>
      <c r="B105">
        <v>1</v>
      </c>
      <c r="D105">
        <v>2</v>
      </c>
      <c r="E105" t="s">
        <v>130</v>
      </c>
      <c r="F105" t="s">
        <v>131</v>
      </c>
      <c r="G105">
        <v>1</v>
      </c>
      <c r="H105">
        <v>1</v>
      </c>
      <c r="I105" t="s">
        <v>102</v>
      </c>
      <c r="J105">
        <v>0</v>
      </c>
      <c r="K105">
        <v>0</v>
      </c>
      <c r="L105" t="s">
        <v>6</v>
      </c>
      <c r="M105" t="s">
        <v>6</v>
      </c>
      <c r="N105">
        <v>0</v>
      </c>
      <c r="O105">
        <v>1</v>
      </c>
      <c r="P105" t="s">
        <v>131</v>
      </c>
      <c r="IF105">
        <v>-1</v>
      </c>
    </row>
    <row r="106" spans="1:240" x14ac:dyDescent="0.2">
      <c r="A106">
        <v>70</v>
      </c>
      <c r="B106">
        <v>1</v>
      </c>
      <c r="D106">
        <v>3</v>
      </c>
      <c r="E106" t="s">
        <v>132</v>
      </c>
      <c r="F106" t="s">
        <v>133</v>
      </c>
      <c r="G106">
        <v>1</v>
      </c>
      <c r="H106">
        <v>0</v>
      </c>
      <c r="I106" t="s">
        <v>102</v>
      </c>
      <c r="J106">
        <v>0</v>
      </c>
      <c r="K106">
        <v>0</v>
      </c>
      <c r="L106" t="s">
        <v>6</v>
      </c>
      <c r="M106" t="s">
        <v>6</v>
      </c>
      <c r="N106">
        <v>0</v>
      </c>
      <c r="O106">
        <v>1</v>
      </c>
      <c r="P106" t="s">
        <v>133</v>
      </c>
      <c r="IF106">
        <v>-1</v>
      </c>
    </row>
    <row r="107" spans="1:240" x14ac:dyDescent="0.2">
      <c r="A107">
        <v>70</v>
      </c>
      <c r="B107">
        <v>1</v>
      </c>
      <c r="D107">
        <v>4</v>
      </c>
      <c r="E107" t="s">
        <v>134</v>
      </c>
      <c r="F107" t="s">
        <v>135</v>
      </c>
      <c r="G107">
        <v>1</v>
      </c>
      <c r="H107">
        <v>0</v>
      </c>
      <c r="I107" t="s">
        <v>102</v>
      </c>
      <c r="J107">
        <v>0</v>
      </c>
      <c r="K107">
        <v>0</v>
      </c>
      <c r="L107" t="s">
        <v>6</v>
      </c>
      <c r="M107" t="s">
        <v>6</v>
      </c>
      <c r="N107">
        <v>0</v>
      </c>
      <c r="O107">
        <v>1</v>
      </c>
      <c r="P107" t="s">
        <v>135</v>
      </c>
      <c r="IF107">
        <v>-1</v>
      </c>
    </row>
    <row r="108" spans="1:240" x14ac:dyDescent="0.2">
      <c r="A108">
        <v>70</v>
      </c>
      <c r="B108">
        <v>1</v>
      </c>
      <c r="D108">
        <v>5</v>
      </c>
      <c r="E108" t="s">
        <v>136</v>
      </c>
      <c r="F108" t="s">
        <v>137</v>
      </c>
      <c r="G108">
        <v>1</v>
      </c>
      <c r="H108">
        <v>0</v>
      </c>
      <c r="I108" t="s">
        <v>102</v>
      </c>
      <c r="J108">
        <v>0</v>
      </c>
      <c r="K108">
        <v>0</v>
      </c>
      <c r="L108" t="s">
        <v>6</v>
      </c>
      <c r="M108" t="s">
        <v>6</v>
      </c>
      <c r="N108">
        <v>0</v>
      </c>
      <c r="O108">
        <v>0.85</v>
      </c>
      <c r="P108" t="s">
        <v>137</v>
      </c>
      <c r="IF108">
        <v>-1</v>
      </c>
    </row>
    <row r="109" spans="1:240" x14ac:dyDescent="0.2">
      <c r="A109">
        <v>70</v>
      </c>
      <c r="B109">
        <v>1</v>
      </c>
      <c r="D109">
        <v>6</v>
      </c>
      <c r="E109" t="s">
        <v>138</v>
      </c>
      <c r="F109" t="s">
        <v>139</v>
      </c>
      <c r="G109">
        <v>1</v>
      </c>
      <c r="H109">
        <v>0</v>
      </c>
      <c r="I109" t="s">
        <v>102</v>
      </c>
      <c r="J109">
        <v>0</v>
      </c>
      <c r="K109">
        <v>0</v>
      </c>
      <c r="L109" t="s">
        <v>6</v>
      </c>
      <c r="M109" t="s">
        <v>6</v>
      </c>
      <c r="N109">
        <v>0</v>
      </c>
      <c r="O109">
        <v>0.8</v>
      </c>
      <c r="P109" t="s">
        <v>139</v>
      </c>
      <c r="IF109">
        <v>-1</v>
      </c>
    </row>
    <row r="110" spans="1:240" x14ac:dyDescent="0.2">
      <c r="A110">
        <v>70</v>
      </c>
      <c r="B110">
        <v>1</v>
      </c>
      <c r="D110">
        <v>7</v>
      </c>
      <c r="E110" t="s">
        <v>140</v>
      </c>
      <c r="F110" t="s">
        <v>141</v>
      </c>
      <c r="G110">
        <v>1</v>
      </c>
      <c r="H110">
        <v>0</v>
      </c>
      <c r="I110" t="s">
        <v>102</v>
      </c>
      <c r="J110">
        <v>0</v>
      </c>
      <c r="K110">
        <v>0</v>
      </c>
      <c r="L110" t="s">
        <v>6</v>
      </c>
      <c r="M110" t="s">
        <v>6</v>
      </c>
      <c r="N110">
        <v>0</v>
      </c>
      <c r="O110">
        <v>1</v>
      </c>
      <c r="P110" t="s">
        <v>141</v>
      </c>
      <c r="IF110">
        <v>-1</v>
      </c>
    </row>
    <row r="111" spans="1:240" x14ac:dyDescent="0.2">
      <c r="A111">
        <v>70</v>
      </c>
      <c r="B111">
        <v>1</v>
      </c>
      <c r="D111">
        <v>8</v>
      </c>
      <c r="E111" t="s">
        <v>142</v>
      </c>
      <c r="F111" t="s">
        <v>143</v>
      </c>
      <c r="G111">
        <v>1</v>
      </c>
      <c r="H111">
        <v>0.8</v>
      </c>
      <c r="I111" t="s">
        <v>102</v>
      </c>
      <c r="J111">
        <v>0</v>
      </c>
      <c r="K111">
        <v>0</v>
      </c>
      <c r="L111" t="s">
        <v>6</v>
      </c>
      <c r="M111" t="s">
        <v>6</v>
      </c>
      <c r="N111">
        <v>0</v>
      </c>
      <c r="O111">
        <v>1</v>
      </c>
      <c r="P111" t="s">
        <v>143</v>
      </c>
      <c r="IF111">
        <v>-1</v>
      </c>
    </row>
    <row r="112" spans="1:240" x14ac:dyDescent="0.2">
      <c r="A112">
        <v>70</v>
      </c>
      <c r="B112">
        <v>1</v>
      </c>
      <c r="D112">
        <v>9</v>
      </c>
      <c r="E112" t="s">
        <v>144</v>
      </c>
      <c r="F112" t="s">
        <v>145</v>
      </c>
      <c r="G112">
        <v>1</v>
      </c>
      <c r="H112">
        <v>0.85</v>
      </c>
      <c r="I112" t="s">
        <v>102</v>
      </c>
      <c r="J112">
        <v>0</v>
      </c>
      <c r="K112">
        <v>0</v>
      </c>
      <c r="L112" t="s">
        <v>6</v>
      </c>
      <c r="M112" t="s">
        <v>6</v>
      </c>
      <c r="N112">
        <v>0</v>
      </c>
      <c r="O112">
        <v>1</v>
      </c>
      <c r="P112" t="s">
        <v>145</v>
      </c>
      <c r="IF112">
        <v>-1</v>
      </c>
    </row>
    <row r="113" spans="1:240" x14ac:dyDescent="0.2">
      <c r="A113">
        <v>70</v>
      </c>
      <c r="B113">
        <v>1</v>
      </c>
      <c r="D113">
        <v>10</v>
      </c>
      <c r="E113" t="s">
        <v>146</v>
      </c>
      <c r="F113" t="s">
        <v>147</v>
      </c>
      <c r="G113">
        <v>1</v>
      </c>
      <c r="H113">
        <v>0</v>
      </c>
      <c r="I113" t="s">
        <v>102</v>
      </c>
      <c r="J113">
        <v>0</v>
      </c>
      <c r="K113">
        <v>0</v>
      </c>
      <c r="L113" t="s">
        <v>6</v>
      </c>
      <c r="M113" t="s">
        <v>6</v>
      </c>
      <c r="N113">
        <v>0</v>
      </c>
      <c r="O113">
        <v>1</v>
      </c>
      <c r="P113" t="s">
        <v>147</v>
      </c>
      <c r="IF113">
        <v>-1</v>
      </c>
    </row>
    <row r="114" spans="1:240" x14ac:dyDescent="0.2">
      <c r="A114">
        <v>70</v>
      </c>
      <c r="B114">
        <v>1</v>
      </c>
      <c r="D114">
        <v>11</v>
      </c>
      <c r="E114" t="s">
        <v>148</v>
      </c>
      <c r="F114" t="s">
        <v>149</v>
      </c>
      <c r="G114">
        <v>0.7</v>
      </c>
      <c r="H114">
        <v>0</v>
      </c>
      <c r="I114" t="s">
        <v>102</v>
      </c>
      <c r="J114">
        <v>0</v>
      </c>
      <c r="K114">
        <v>0</v>
      </c>
      <c r="L114" t="s">
        <v>6</v>
      </c>
      <c r="M114" t="s">
        <v>6</v>
      </c>
      <c r="N114">
        <v>0</v>
      </c>
      <c r="O114">
        <v>0.94</v>
      </c>
      <c r="P114" t="s">
        <v>149</v>
      </c>
      <c r="IF114">
        <v>-1</v>
      </c>
    </row>
    <row r="115" spans="1:240" x14ac:dyDescent="0.2">
      <c r="A115">
        <v>70</v>
      </c>
      <c r="B115">
        <v>1</v>
      </c>
      <c r="D115">
        <v>12</v>
      </c>
      <c r="E115" t="s">
        <v>150</v>
      </c>
      <c r="F115" t="s">
        <v>151</v>
      </c>
      <c r="G115">
        <v>0.9</v>
      </c>
      <c r="H115">
        <v>0</v>
      </c>
      <c r="I115" t="s">
        <v>102</v>
      </c>
      <c r="J115">
        <v>0</v>
      </c>
      <c r="K115">
        <v>0</v>
      </c>
      <c r="L115" t="s">
        <v>6</v>
      </c>
      <c r="M115" t="s">
        <v>6</v>
      </c>
      <c r="N115">
        <v>0</v>
      </c>
      <c r="O115">
        <v>0.9</v>
      </c>
      <c r="P115" t="s">
        <v>151</v>
      </c>
      <c r="IF115">
        <v>-1</v>
      </c>
    </row>
    <row r="116" spans="1:240" x14ac:dyDescent="0.2">
      <c r="A116">
        <v>70</v>
      </c>
      <c r="B116">
        <v>1</v>
      </c>
      <c r="D116">
        <v>13</v>
      </c>
      <c r="E116" t="s">
        <v>152</v>
      </c>
      <c r="F116" t="s">
        <v>153</v>
      </c>
      <c r="G116">
        <v>0.6</v>
      </c>
      <c r="H116">
        <v>0</v>
      </c>
      <c r="I116" t="s">
        <v>102</v>
      </c>
      <c r="J116">
        <v>0</v>
      </c>
      <c r="K116">
        <v>0</v>
      </c>
      <c r="L116" t="s">
        <v>6</v>
      </c>
      <c r="M116" t="s">
        <v>6</v>
      </c>
      <c r="N116">
        <v>0</v>
      </c>
      <c r="O116">
        <v>0.6</v>
      </c>
      <c r="P116" t="s">
        <v>153</v>
      </c>
      <c r="IF116">
        <v>-1</v>
      </c>
    </row>
    <row r="117" spans="1:240" x14ac:dyDescent="0.2">
      <c r="A117">
        <v>70</v>
      </c>
      <c r="B117">
        <v>1</v>
      </c>
      <c r="D117">
        <v>14</v>
      </c>
      <c r="E117" t="s">
        <v>154</v>
      </c>
      <c r="F117" t="s">
        <v>155</v>
      </c>
      <c r="G117">
        <v>1</v>
      </c>
      <c r="H117">
        <v>0</v>
      </c>
      <c r="I117" t="s">
        <v>102</v>
      </c>
      <c r="J117">
        <v>0</v>
      </c>
      <c r="K117">
        <v>0</v>
      </c>
      <c r="L117" t="s">
        <v>6</v>
      </c>
      <c r="M117" t="s">
        <v>6</v>
      </c>
      <c r="N117">
        <v>0</v>
      </c>
      <c r="O117">
        <v>1</v>
      </c>
      <c r="P117" t="s">
        <v>155</v>
      </c>
      <c r="IF117">
        <v>-1</v>
      </c>
    </row>
    <row r="118" spans="1:240" x14ac:dyDescent="0.2">
      <c r="A118">
        <v>70</v>
      </c>
      <c r="B118">
        <v>1</v>
      </c>
      <c r="D118">
        <v>15</v>
      </c>
      <c r="E118" t="s">
        <v>156</v>
      </c>
      <c r="F118" t="s">
        <v>157</v>
      </c>
      <c r="G118">
        <v>1.2</v>
      </c>
      <c r="H118">
        <v>0</v>
      </c>
      <c r="I118" t="s">
        <v>102</v>
      </c>
      <c r="J118">
        <v>0</v>
      </c>
      <c r="K118">
        <v>0</v>
      </c>
      <c r="L118" t="s">
        <v>6</v>
      </c>
      <c r="M118" t="s">
        <v>6</v>
      </c>
      <c r="N118">
        <v>0</v>
      </c>
      <c r="O118">
        <v>1.2</v>
      </c>
      <c r="P118" t="s">
        <v>157</v>
      </c>
      <c r="IF118">
        <v>-1</v>
      </c>
    </row>
    <row r="119" spans="1:240" x14ac:dyDescent="0.2">
      <c r="A119">
        <v>70</v>
      </c>
      <c r="B119">
        <v>1</v>
      </c>
      <c r="D119">
        <v>16</v>
      </c>
      <c r="E119" t="s">
        <v>158</v>
      </c>
      <c r="F119" t="s">
        <v>159</v>
      </c>
      <c r="G119">
        <v>1</v>
      </c>
      <c r="H119">
        <v>0</v>
      </c>
      <c r="I119" t="s">
        <v>102</v>
      </c>
      <c r="J119">
        <v>0</v>
      </c>
      <c r="K119">
        <v>0</v>
      </c>
      <c r="L119" t="s">
        <v>6</v>
      </c>
      <c r="M119" t="s">
        <v>6</v>
      </c>
      <c r="N119">
        <v>0</v>
      </c>
      <c r="O119">
        <v>1</v>
      </c>
      <c r="P119" t="s">
        <v>159</v>
      </c>
      <c r="IF119">
        <v>-1</v>
      </c>
    </row>
    <row r="120" spans="1:240" x14ac:dyDescent="0.2">
      <c r="A120">
        <v>70</v>
      </c>
      <c r="B120">
        <v>1</v>
      </c>
      <c r="D120">
        <v>17</v>
      </c>
      <c r="E120" t="s">
        <v>160</v>
      </c>
      <c r="F120" t="s">
        <v>161</v>
      </c>
      <c r="G120">
        <v>1</v>
      </c>
      <c r="H120">
        <v>0</v>
      </c>
      <c r="I120" t="s">
        <v>102</v>
      </c>
      <c r="J120">
        <v>0</v>
      </c>
      <c r="K120">
        <v>0</v>
      </c>
      <c r="L120" t="s">
        <v>6</v>
      </c>
      <c r="M120" t="s">
        <v>6</v>
      </c>
      <c r="N120">
        <v>0</v>
      </c>
      <c r="O120">
        <v>1</v>
      </c>
      <c r="P120" t="s">
        <v>161</v>
      </c>
      <c r="IF120">
        <v>-1</v>
      </c>
    </row>
    <row r="121" spans="1:240" x14ac:dyDescent="0.2">
      <c r="A121">
        <v>70</v>
      </c>
      <c r="B121">
        <v>1</v>
      </c>
      <c r="D121">
        <v>18</v>
      </c>
      <c r="E121" t="s">
        <v>162</v>
      </c>
      <c r="F121" t="s">
        <v>163</v>
      </c>
      <c r="G121">
        <v>1</v>
      </c>
      <c r="H121">
        <v>0</v>
      </c>
      <c r="I121" t="s">
        <v>102</v>
      </c>
      <c r="J121">
        <v>0</v>
      </c>
      <c r="K121">
        <v>0</v>
      </c>
      <c r="L121" t="s">
        <v>6</v>
      </c>
      <c r="M121" t="s">
        <v>6</v>
      </c>
      <c r="N121">
        <v>0</v>
      </c>
      <c r="O121">
        <v>1</v>
      </c>
      <c r="P121" t="s">
        <v>163</v>
      </c>
      <c r="IF121">
        <v>-1</v>
      </c>
    </row>
    <row r="122" spans="1:240" x14ac:dyDescent="0.2">
      <c r="A122">
        <v>70</v>
      </c>
      <c r="B122">
        <v>1</v>
      </c>
      <c r="D122">
        <v>19</v>
      </c>
      <c r="E122" t="s">
        <v>164</v>
      </c>
      <c r="F122" t="s">
        <v>161</v>
      </c>
      <c r="G122">
        <v>1</v>
      </c>
      <c r="H122">
        <v>0</v>
      </c>
      <c r="I122" t="s">
        <v>102</v>
      </c>
      <c r="J122">
        <v>0</v>
      </c>
      <c r="K122">
        <v>0</v>
      </c>
      <c r="L122" t="s">
        <v>6</v>
      </c>
      <c r="M122" t="s">
        <v>6</v>
      </c>
      <c r="N122">
        <v>0</v>
      </c>
      <c r="O122">
        <v>1</v>
      </c>
      <c r="P122" t="s">
        <v>161</v>
      </c>
      <c r="IF122">
        <v>-1</v>
      </c>
    </row>
    <row r="123" spans="1:240" x14ac:dyDescent="0.2">
      <c r="A123">
        <v>70</v>
      </c>
      <c r="B123">
        <v>1</v>
      </c>
      <c r="D123">
        <v>20</v>
      </c>
      <c r="E123" t="s">
        <v>165</v>
      </c>
      <c r="F123" t="s">
        <v>163</v>
      </c>
      <c r="G123">
        <v>1</v>
      </c>
      <c r="H123">
        <v>0</v>
      </c>
      <c r="I123" t="s">
        <v>102</v>
      </c>
      <c r="J123">
        <v>0</v>
      </c>
      <c r="K123">
        <v>0</v>
      </c>
      <c r="L123" t="s">
        <v>6</v>
      </c>
      <c r="M123" t="s">
        <v>6</v>
      </c>
      <c r="N123">
        <v>0</v>
      </c>
      <c r="O123">
        <v>1</v>
      </c>
      <c r="P123" t="s">
        <v>163</v>
      </c>
      <c r="IF123">
        <v>-1</v>
      </c>
    </row>
    <row r="124" spans="1:240" x14ac:dyDescent="0.2">
      <c r="A124">
        <v>70</v>
      </c>
      <c r="B124">
        <v>1</v>
      </c>
      <c r="D124">
        <v>21</v>
      </c>
      <c r="E124" t="s">
        <v>166</v>
      </c>
      <c r="F124" t="s">
        <v>167</v>
      </c>
      <c r="G124">
        <v>0</v>
      </c>
      <c r="H124">
        <v>0</v>
      </c>
      <c r="I124" t="s">
        <v>102</v>
      </c>
      <c r="J124">
        <v>0</v>
      </c>
      <c r="K124">
        <v>0</v>
      </c>
      <c r="L124" t="s">
        <v>6</v>
      </c>
      <c r="M124" t="s">
        <v>6</v>
      </c>
      <c r="N124">
        <v>0</v>
      </c>
      <c r="O124">
        <v>0</v>
      </c>
      <c r="P124" t="s">
        <v>167</v>
      </c>
      <c r="IF124">
        <v>-1</v>
      </c>
    </row>
    <row r="125" spans="1:240" x14ac:dyDescent="0.2">
      <c r="IF125">
        <v>-1</v>
      </c>
    </row>
    <row r="126" spans="1:240" x14ac:dyDescent="0.2">
      <c r="A126">
        <v>-1</v>
      </c>
      <c r="IF126">
        <v>-1</v>
      </c>
    </row>
    <row r="127" spans="1:240" x14ac:dyDescent="0.2">
      <c r="IF127">
        <v>-1</v>
      </c>
    </row>
    <row r="128" spans="1:240" x14ac:dyDescent="0.2">
      <c r="A128" s="4">
        <v>75</v>
      </c>
      <c r="B128" s="4" t="s">
        <v>168</v>
      </c>
      <c r="C128" s="4">
        <v>2000</v>
      </c>
      <c r="D128" s="4">
        <v>0</v>
      </c>
      <c r="E128" s="4">
        <v>1</v>
      </c>
      <c r="F128" s="4"/>
      <c r="G128" s="4">
        <v>0</v>
      </c>
      <c r="H128" s="4">
        <v>1</v>
      </c>
      <c r="I128" s="4">
        <v>0</v>
      </c>
      <c r="J128" s="4">
        <v>4</v>
      </c>
      <c r="K128" s="4">
        <v>0</v>
      </c>
      <c r="L128" s="4">
        <v>0</v>
      </c>
      <c r="M128" s="4">
        <v>0</v>
      </c>
      <c r="N128" s="4">
        <v>62803415</v>
      </c>
      <c r="O128" s="4">
        <v>1</v>
      </c>
      <c r="IF128">
        <v>-1</v>
      </c>
    </row>
    <row r="129" spans="1:240" x14ac:dyDescent="0.2">
      <c r="A129" s="4">
        <v>75</v>
      </c>
      <c r="B129" s="4" t="s">
        <v>169</v>
      </c>
      <c r="C129" s="4">
        <v>2023</v>
      </c>
      <c r="D129" s="4">
        <v>1</v>
      </c>
      <c r="E129" s="4">
        <v>0</v>
      </c>
      <c r="F129" s="4"/>
      <c r="G129" s="4">
        <v>0</v>
      </c>
      <c r="H129" s="4">
        <v>2</v>
      </c>
      <c r="I129" s="4">
        <v>0</v>
      </c>
      <c r="J129" s="4">
        <v>3</v>
      </c>
      <c r="K129" s="4">
        <v>0</v>
      </c>
      <c r="L129" s="4">
        <v>0</v>
      </c>
      <c r="M129" s="4">
        <v>1</v>
      </c>
      <c r="N129" s="4">
        <v>62803416</v>
      </c>
      <c r="O129" s="4">
        <v>2</v>
      </c>
      <c r="IF129">
        <v>-1</v>
      </c>
    </row>
    <row r="130" spans="1:240" x14ac:dyDescent="0.2">
      <c r="A130" s="6">
        <v>1</v>
      </c>
      <c r="B130" s="6" t="s">
        <v>170</v>
      </c>
      <c r="C130" s="6" t="s">
        <v>171</v>
      </c>
      <c r="D130" s="6">
        <v>2023</v>
      </c>
      <c r="E130" s="6">
        <v>3</v>
      </c>
      <c r="F130" s="6">
        <v>1</v>
      </c>
      <c r="G130" s="6">
        <v>1</v>
      </c>
      <c r="H130" s="6">
        <v>0</v>
      </c>
      <c r="I130" s="6">
        <v>2</v>
      </c>
      <c r="J130" s="6">
        <v>1</v>
      </c>
      <c r="K130" s="6">
        <v>7.56</v>
      </c>
      <c r="L130" s="6">
        <v>4.83</v>
      </c>
      <c r="M130" s="6">
        <v>1</v>
      </c>
      <c r="N130" s="6">
        <v>1</v>
      </c>
      <c r="O130" s="6">
        <v>7.56</v>
      </c>
      <c r="P130" s="6">
        <v>4.83</v>
      </c>
      <c r="Q130" s="6">
        <v>1</v>
      </c>
      <c r="R130" s="6" t="s">
        <v>6</v>
      </c>
      <c r="S130" s="6" t="s">
        <v>6</v>
      </c>
      <c r="T130" s="6" t="s">
        <v>6</v>
      </c>
      <c r="U130" s="6" t="s">
        <v>6</v>
      </c>
      <c r="V130" s="6" t="s">
        <v>6</v>
      </c>
      <c r="W130" s="6" t="s">
        <v>6</v>
      </c>
      <c r="X130" s="6" t="s">
        <v>6</v>
      </c>
      <c r="Y130" s="6" t="s">
        <v>6</v>
      </c>
      <c r="Z130" s="6" t="s">
        <v>6</v>
      </c>
      <c r="AA130" s="6" t="s">
        <v>6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>
        <v>62803417</v>
      </c>
      <c r="IF130">
        <v>-1</v>
      </c>
    </row>
    <row r="131" spans="1:240" x14ac:dyDescent="0.2"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A134">
        <v>65</v>
      </c>
      <c r="C134">
        <v>1</v>
      </c>
      <c r="D134">
        <v>0</v>
      </c>
      <c r="E134">
        <v>245</v>
      </c>
      <c r="IF134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172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62803415</v>
      </c>
      <c r="E14" s="1">
        <v>62803416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14</v>
      </c>
      <c r="D16" s="7" t="s">
        <v>15</v>
      </c>
      <c r="E16" s="8">
        <f>ROUND((Source!F51)/1000,2)</f>
        <v>34.54</v>
      </c>
      <c r="F16" s="8">
        <f>ROUND((Source!F52)/1000,2)</f>
        <v>0</v>
      </c>
      <c r="G16" s="8">
        <f>ROUND((Source!F43)/1000,2)</f>
        <v>0</v>
      </c>
      <c r="H16" s="8">
        <f>ROUND((Source!F53)/1000+(Source!F54)/1000,2)</f>
        <v>0</v>
      </c>
      <c r="I16" s="8">
        <f>E16+F16+G16+H16</f>
        <v>34.54</v>
      </c>
      <c r="J16" s="8">
        <f>ROUND((Source!F49+Source!F48)/1000,2)</f>
        <v>3.49</v>
      </c>
      <c r="T16" s="9">
        <f>ROUND((Source!P51)/1000,2)</f>
        <v>340.11</v>
      </c>
      <c r="U16" s="9">
        <f>ROUND((Source!P52)/1000,2)</f>
        <v>0</v>
      </c>
      <c r="V16" s="9">
        <f>ROUND((Source!P43)/1000,2)</f>
        <v>0</v>
      </c>
      <c r="W16" s="9">
        <f>ROUND((Source!P53)/1000+(Source!P54)/1000,2)</f>
        <v>0</v>
      </c>
      <c r="X16" s="9">
        <f>T16+U16+V16+W16</f>
        <v>340.11</v>
      </c>
      <c r="Y16" s="9">
        <f>ROUND((Source!P49+Source!P48)/1000,2)</f>
        <v>79.349999999999994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29890</v>
      </c>
      <c r="AU16" s="8">
        <v>0</v>
      </c>
      <c r="AV16" s="8">
        <v>0</v>
      </c>
      <c r="AW16" s="8">
        <v>0</v>
      </c>
      <c r="AX16" s="8">
        <v>0</v>
      </c>
      <c r="AY16" s="8">
        <v>27701</v>
      </c>
      <c r="AZ16" s="8">
        <v>1304</v>
      </c>
      <c r="BA16" s="8">
        <v>2189</v>
      </c>
      <c r="BB16" s="8">
        <v>34537</v>
      </c>
      <c r="BC16" s="8">
        <v>0</v>
      </c>
      <c r="BD16" s="8">
        <v>0</v>
      </c>
      <c r="BE16" s="8">
        <v>0</v>
      </c>
      <c r="BF16" s="8">
        <v>278.182635</v>
      </c>
      <c r="BG16" s="8">
        <v>95.796950999999993</v>
      </c>
      <c r="BH16" s="8">
        <v>0</v>
      </c>
      <c r="BI16" s="8">
        <v>3004</v>
      </c>
      <c r="BJ16" s="8">
        <v>1643</v>
      </c>
      <c r="BK16" s="8">
        <v>34537</v>
      </c>
      <c r="BR16" s="9">
        <v>244662</v>
      </c>
      <c r="BS16" s="9">
        <v>0</v>
      </c>
      <c r="BT16" s="9">
        <v>0</v>
      </c>
      <c r="BU16" s="9">
        <v>0</v>
      </c>
      <c r="BV16" s="9">
        <v>0</v>
      </c>
      <c r="BW16" s="9">
        <v>189207</v>
      </c>
      <c r="BX16" s="9">
        <v>23899</v>
      </c>
      <c r="BY16" s="9">
        <v>55455</v>
      </c>
      <c r="BZ16" s="9">
        <v>340109</v>
      </c>
      <c r="CA16" s="9">
        <v>0</v>
      </c>
      <c r="CB16" s="9">
        <v>0</v>
      </c>
      <c r="CC16" s="9">
        <v>0</v>
      </c>
      <c r="CD16" s="9">
        <v>278.182635</v>
      </c>
      <c r="CE16" s="9">
        <v>95.796950999999993</v>
      </c>
      <c r="CF16" s="9">
        <v>0</v>
      </c>
      <c r="CG16" s="9">
        <v>63981</v>
      </c>
      <c r="CH16" s="9">
        <v>31466</v>
      </c>
      <c r="CI16" s="9">
        <v>340109</v>
      </c>
    </row>
    <row r="18" spans="1:40" x14ac:dyDescent="0.2">
      <c r="A18">
        <v>51</v>
      </c>
      <c r="E18" s="10">
        <f>SUMIF(A16:A17,3,E16:E17)</f>
        <v>34.54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34.54</v>
      </c>
      <c r="J18" s="10">
        <f>SUMIF(A16:A17,3,J16:J17)</f>
        <v>3.49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340.11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>
        <f>SUMIF(A16:A17,3,X16:X17)</f>
        <v>340.11</v>
      </c>
      <c r="Y18" s="3">
        <f>SUMIF(A16:A17,3,Y16:Y17)</f>
        <v>79.349999999999994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29890</v>
      </c>
      <c r="G20" s="5" t="s">
        <v>46</v>
      </c>
      <c r="H20" s="5" t="s">
        <v>47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244662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48</v>
      </c>
      <c r="H21" s="5" t="s">
        <v>49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50</v>
      </c>
      <c r="H22" s="5" t="s">
        <v>51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52</v>
      </c>
      <c r="H23" s="5" t="s">
        <v>53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54</v>
      </c>
      <c r="H24" s="5" t="s">
        <v>55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56</v>
      </c>
      <c r="H25" s="5" t="s">
        <v>57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58</v>
      </c>
      <c r="H26" s="5" t="s">
        <v>59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60</v>
      </c>
      <c r="H27" s="5" t="s">
        <v>61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62</v>
      </c>
      <c r="H28" s="5" t="s">
        <v>63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64</v>
      </c>
      <c r="H29" s="5" t="s">
        <v>65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27701</v>
      </c>
      <c r="G30" s="5" t="s">
        <v>66</v>
      </c>
      <c r="H30" s="5" t="s">
        <v>67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189207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68</v>
      </c>
      <c r="H31" s="5" t="s">
        <v>69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1304</v>
      </c>
      <c r="G32" s="5" t="s">
        <v>70</v>
      </c>
      <c r="H32" s="5" t="s">
        <v>71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23899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2189</v>
      </c>
      <c r="G33" s="5" t="s">
        <v>72</v>
      </c>
      <c r="H33" s="5" t="s">
        <v>73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55455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74</v>
      </c>
      <c r="H34" s="5" t="s">
        <v>75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34537</v>
      </c>
      <c r="G35" s="5" t="s">
        <v>76</v>
      </c>
      <c r="H35" s="5" t="s">
        <v>77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340109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78</v>
      </c>
      <c r="H36" s="5" t="s">
        <v>79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80</v>
      </c>
      <c r="H37" s="5" t="s">
        <v>81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82</v>
      </c>
      <c r="H38" s="5" t="s">
        <v>83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84</v>
      </c>
      <c r="H39" s="5" t="s">
        <v>85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278.182635</v>
      </c>
      <c r="G40" s="5" t="s">
        <v>86</v>
      </c>
      <c r="H40" s="5" t="s">
        <v>87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-1</v>
      </c>
      <c r="P40" s="5">
        <v>278.182635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95.796950999999993</v>
      </c>
      <c r="G41" s="5" t="s">
        <v>88</v>
      </c>
      <c r="H41" s="5" t="s">
        <v>89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-1</v>
      </c>
      <c r="P41" s="5">
        <v>95.796950999999993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90</v>
      </c>
      <c r="H42" s="5" t="s">
        <v>91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16406</v>
      </c>
      <c r="G43" s="5" t="s">
        <v>92</v>
      </c>
      <c r="H43" s="5" t="s">
        <v>93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116807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3004</v>
      </c>
      <c r="G44" s="5" t="s">
        <v>94</v>
      </c>
      <c r="H44" s="5" t="s">
        <v>95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63981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1643</v>
      </c>
      <c r="G45" s="5" t="s">
        <v>96</v>
      </c>
      <c r="H45" s="5" t="s">
        <v>97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31466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34537</v>
      </c>
      <c r="G46" s="5" t="s">
        <v>98</v>
      </c>
      <c r="H46" s="5" t="s">
        <v>99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340109</v>
      </c>
    </row>
    <row r="48" spans="1:16" x14ac:dyDescent="0.2">
      <c r="A48">
        <v>-1</v>
      </c>
    </row>
    <row r="51" spans="1:40" x14ac:dyDescent="0.2">
      <c r="A51" s="4">
        <v>75</v>
      </c>
      <c r="B51" s="4" t="s">
        <v>168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62803415</v>
      </c>
      <c r="O51" s="4">
        <v>1</v>
      </c>
    </row>
    <row r="52" spans="1:40" x14ac:dyDescent="0.2">
      <c r="A52" s="4">
        <v>75</v>
      </c>
      <c r="B52" s="4" t="s">
        <v>169</v>
      </c>
      <c r="C52" s="4">
        <v>2023</v>
      </c>
      <c r="D52" s="4">
        <v>1</v>
      </c>
      <c r="E52" s="4">
        <v>0</v>
      </c>
      <c r="F52" s="4"/>
      <c r="G52" s="4">
        <v>0</v>
      </c>
      <c r="H52" s="4">
        <v>2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62803416</v>
      </c>
      <c r="O52" s="4">
        <v>2</v>
      </c>
    </row>
    <row r="53" spans="1:40" x14ac:dyDescent="0.2">
      <c r="A53" s="6">
        <v>1</v>
      </c>
      <c r="B53" s="6" t="s">
        <v>170</v>
      </c>
      <c r="C53" s="6" t="s">
        <v>171</v>
      </c>
      <c r="D53" s="6">
        <v>2023</v>
      </c>
      <c r="E53" s="6">
        <v>3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7.56</v>
      </c>
      <c r="L53" s="6">
        <v>4.83</v>
      </c>
      <c r="M53" s="6">
        <v>1</v>
      </c>
      <c r="N53" s="6">
        <v>1</v>
      </c>
      <c r="O53" s="6">
        <v>7.56</v>
      </c>
      <c r="P53" s="6">
        <v>4.83</v>
      </c>
      <c r="Q53" s="6">
        <v>1</v>
      </c>
      <c r="R53" s="6" t="s">
        <v>6</v>
      </c>
      <c r="S53" s="6" t="s">
        <v>6</v>
      </c>
      <c r="T53" s="6" t="s">
        <v>6</v>
      </c>
      <c r="U53" s="6" t="s">
        <v>6</v>
      </c>
      <c r="V53" s="6" t="s">
        <v>6</v>
      </c>
      <c r="W53" s="6" t="s">
        <v>6</v>
      </c>
      <c r="X53" s="6" t="s">
        <v>6</v>
      </c>
      <c r="Y53" s="6" t="s">
        <v>6</v>
      </c>
      <c r="Z53" s="6" t="s">
        <v>6</v>
      </c>
      <c r="AA53" s="6" t="s">
        <v>6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62803417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ROW(Source!A25)</f>
        <v>25</v>
      </c>
      <c r="B1">
        <v>62803415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W1">
        <v>0</v>
      </c>
      <c r="X1">
        <v>-185737400</v>
      </c>
      <c r="Y1">
        <v>25.96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6</v>
      </c>
      <c r="AT1">
        <v>25.96</v>
      </c>
      <c r="AU1" t="s">
        <v>6</v>
      </c>
      <c r="AV1">
        <v>2</v>
      </c>
      <c r="AW1">
        <v>2</v>
      </c>
      <c r="AX1">
        <v>62803663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Y1*Source!I25</f>
        <v>83.090171999999995</v>
      </c>
      <c r="CY1">
        <f>AD1</f>
        <v>0</v>
      </c>
      <c r="CZ1">
        <f>AH1</f>
        <v>0</v>
      </c>
      <c r="DA1">
        <f>AL1</f>
        <v>1</v>
      </c>
      <c r="DB1">
        <f t="shared" ref="DB1:DB14" si="0">ROUND(ROUND(AT1*CZ1,2),2)</f>
        <v>0</v>
      </c>
      <c r="DC1">
        <f t="shared" ref="DC1:DC14" si="1">ROUND(ROUND(AT1*AG1,2),2)</f>
        <v>0</v>
      </c>
      <c r="DH1">
        <f>Source!I25*SmtRes!Y1</f>
        <v>83.090171999999995</v>
      </c>
      <c r="DI1">
        <f>AD1</f>
        <v>0</v>
      </c>
      <c r="DJ1">
        <f>EtalonRes!AB1</f>
        <v>0</v>
      </c>
      <c r="DK1">
        <f>Source!BA25</f>
        <v>1</v>
      </c>
      <c r="GQ1">
        <v>-1</v>
      </c>
      <c r="GR1">
        <v>-1</v>
      </c>
    </row>
    <row r="2" spans="1:200" x14ac:dyDescent="0.2">
      <c r="A2">
        <f>ROW(Source!A25)</f>
        <v>25</v>
      </c>
      <c r="B2">
        <v>62803415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W2">
        <v>0</v>
      </c>
      <c r="X2">
        <v>-938440382</v>
      </c>
      <c r="Y2">
        <v>25.96</v>
      </c>
      <c r="AA2">
        <v>0</v>
      </c>
      <c r="AB2">
        <v>122</v>
      </c>
      <c r="AC2">
        <v>13.61</v>
      </c>
      <c r="AD2">
        <v>0</v>
      </c>
      <c r="AE2">
        <v>0</v>
      </c>
      <c r="AF2">
        <v>122</v>
      </c>
      <c r="AG2">
        <v>13.61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6</v>
      </c>
      <c r="AT2">
        <v>25.96</v>
      </c>
      <c r="AU2" t="s">
        <v>6</v>
      </c>
      <c r="AV2">
        <v>0</v>
      </c>
      <c r="AW2">
        <v>2</v>
      </c>
      <c r="AX2">
        <v>62803664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Y2*Source!I25</f>
        <v>83.090171999999995</v>
      </c>
      <c r="CY2">
        <f>AB2</f>
        <v>122</v>
      </c>
      <c r="CZ2">
        <f>AF2</f>
        <v>122</v>
      </c>
      <c r="DA2">
        <f>AJ2</f>
        <v>1</v>
      </c>
      <c r="DB2">
        <f t="shared" si="0"/>
        <v>3167.12</v>
      </c>
      <c r="DC2">
        <f t="shared" si="1"/>
        <v>353.32</v>
      </c>
      <c r="DH2">
        <f>Source!I25*SmtRes!Y2</f>
        <v>83.090171999999995</v>
      </c>
      <c r="DI2">
        <f>AB2</f>
        <v>122</v>
      </c>
      <c r="DJ2">
        <f>EtalonRes!Z2</f>
        <v>122</v>
      </c>
      <c r="DK2">
        <f>Source!BB25</f>
        <v>1</v>
      </c>
      <c r="GQ2">
        <v>-1</v>
      </c>
      <c r="GR2">
        <v>-1</v>
      </c>
    </row>
    <row r="3" spans="1:200" x14ac:dyDescent="0.2">
      <c r="A3">
        <f>ROW(Source!A26)</f>
        <v>26</v>
      </c>
      <c r="B3">
        <v>62803416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W3">
        <v>0</v>
      </c>
      <c r="X3">
        <v>-185737400</v>
      </c>
      <c r="Y3">
        <v>25.96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18.329999999999998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6</v>
      </c>
      <c r="AT3">
        <v>25.96</v>
      </c>
      <c r="AU3" t="s">
        <v>6</v>
      </c>
      <c r="AV3">
        <v>2</v>
      </c>
      <c r="AW3">
        <v>2</v>
      </c>
      <c r="AX3">
        <v>62803663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Y3*Source!I26</f>
        <v>83.090171999999995</v>
      </c>
      <c r="CY3">
        <f>AD3</f>
        <v>0</v>
      </c>
      <c r="CZ3">
        <f>AH3</f>
        <v>0</v>
      </c>
      <c r="DA3">
        <f>AL3</f>
        <v>1</v>
      </c>
      <c r="DB3">
        <f t="shared" si="0"/>
        <v>0</v>
      </c>
      <c r="DC3">
        <f t="shared" si="1"/>
        <v>0</v>
      </c>
      <c r="DH3">
        <f>Source!I26*SmtRes!Y3</f>
        <v>83.090171999999995</v>
      </c>
      <c r="DI3">
        <f>AD3</f>
        <v>0</v>
      </c>
      <c r="DJ3">
        <f>EtalonRes!AB3</f>
        <v>0</v>
      </c>
      <c r="DK3">
        <f>Source!BA26</f>
        <v>25.33</v>
      </c>
      <c r="GQ3">
        <v>-1</v>
      </c>
      <c r="GR3">
        <v>-1</v>
      </c>
    </row>
    <row r="4" spans="1:200" x14ac:dyDescent="0.2">
      <c r="A4">
        <f>ROW(Source!A26)</f>
        <v>26</v>
      </c>
      <c r="B4">
        <v>62803416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W4">
        <v>0</v>
      </c>
      <c r="X4">
        <v>-938440382</v>
      </c>
      <c r="Y4">
        <v>25.96</v>
      </c>
      <c r="AA4">
        <v>0</v>
      </c>
      <c r="AB4">
        <v>782.02</v>
      </c>
      <c r="AC4">
        <v>249.47</v>
      </c>
      <c r="AD4">
        <v>0</v>
      </c>
      <c r="AE4">
        <v>0</v>
      </c>
      <c r="AF4">
        <v>122</v>
      </c>
      <c r="AG4">
        <v>13.61</v>
      </c>
      <c r="AH4">
        <v>0</v>
      </c>
      <c r="AI4">
        <v>1</v>
      </c>
      <c r="AJ4">
        <v>6.41</v>
      </c>
      <c r="AK4">
        <v>18.329999999999998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6</v>
      </c>
      <c r="AT4">
        <v>25.96</v>
      </c>
      <c r="AU4" t="s">
        <v>6</v>
      </c>
      <c r="AV4">
        <v>0</v>
      </c>
      <c r="AW4">
        <v>2</v>
      </c>
      <c r="AX4">
        <v>62803664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Y4*Source!I26</f>
        <v>83.090171999999995</v>
      </c>
      <c r="CY4">
        <f>AB4</f>
        <v>782.02</v>
      </c>
      <c r="CZ4">
        <f>AF4</f>
        <v>122</v>
      </c>
      <c r="DA4">
        <f>AJ4</f>
        <v>6.41</v>
      </c>
      <c r="DB4">
        <f t="shared" si="0"/>
        <v>3167.12</v>
      </c>
      <c r="DC4">
        <f t="shared" si="1"/>
        <v>353.32</v>
      </c>
      <c r="DH4">
        <f>Source!I26*SmtRes!Y4</f>
        <v>83.090171999999995</v>
      </c>
      <c r="DI4">
        <f>AB4</f>
        <v>782.02</v>
      </c>
      <c r="DJ4">
        <f>EtalonRes!Z4</f>
        <v>122</v>
      </c>
      <c r="DK4">
        <f>Source!BB26</f>
        <v>6.41</v>
      </c>
      <c r="GQ4">
        <v>-1</v>
      </c>
      <c r="GR4">
        <v>-1</v>
      </c>
    </row>
    <row r="5" spans="1:200" x14ac:dyDescent="0.2">
      <c r="A5">
        <f>ROW(Source!A27)</f>
        <v>27</v>
      </c>
      <c r="B5">
        <v>62803415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W5">
        <v>0</v>
      </c>
      <c r="X5">
        <v>-1952721807</v>
      </c>
      <c r="Y5">
        <v>2.5899999999999999E-2</v>
      </c>
      <c r="AA5">
        <v>0</v>
      </c>
      <c r="AB5">
        <v>114.93</v>
      </c>
      <c r="AC5">
        <v>13.61</v>
      </c>
      <c r="AD5">
        <v>0</v>
      </c>
      <c r="AE5">
        <v>0</v>
      </c>
      <c r="AF5">
        <v>114.93</v>
      </c>
      <c r="AG5">
        <v>13.61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6</v>
      </c>
      <c r="AT5">
        <v>2.5899999999999999E-2</v>
      </c>
      <c r="AU5" t="s">
        <v>6</v>
      </c>
      <c r="AV5">
        <v>0</v>
      </c>
      <c r="AW5">
        <v>2</v>
      </c>
      <c r="AX5">
        <v>62803492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Y5*Source!I27</f>
        <v>142.58478359999998</v>
      </c>
      <c r="CY5">
        <f>AB5</f>
        <v>114.93</v>
      </c>
      <c r="CZ5">
        <f>AF5</f>
        <v>114.93</v>
      </c>
      <c r="DA5">
        <f>AJ5</f>
        <v>1</v>
      </c>
      <c r="DB5">
        <f t="shared" si="0"/>
        <v>2.98</v>
      </c>
      <c r="DC5">
        <f t="shared" si="1"/>
        <v>0.35</v>
      </c>
      <c r="DH5">
        <f>Source!I27*SmtRes!Y5</f>
        <v>142.58478359999998</v>
      </c>
      <c r="DI5">
        <f>AB5</f>
        <v>114.93</v>
      </c>
      <c r="DJ5">
        <f>EtalonRes!Z5</f>
        <v>114.93</v>
      </c>
      <c r="DK5">
        <f>Source!BB27</f>
        <v>1</v>
      </c>
      <c r="GQ5">
        <v>-1</v>
      </c>
      <c r="GR5">
        <v>-1</v>
      </c>
    </row>
    <row r="6" spans="1:200" x14ac:dyDescent="0.2">
      <c r="A6">
        <f>ROW(Source!A28)</f>
        <v>28</v>
      </c>
      <c r="B6">
        <v>62803416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W6">
        <v>0</v>
      </c>
      <c r="X6">
        <v>-1952721807</v>
      </c>
      <c r="Y6">
        <v>2.5899999999999999E-2</v>
      </c>
      <c r="AA6">
        <v>0</v>
      </c>
      <c r="AB6">
        <v>818.3</v>
      </c>
      <c r="AC6">
        <v>249.47</v>
      </c>
      <c r="AD6">
        <v>0</v>
      </c>
      <c r="AE6">
        <v>0</v>
      </c>
      <c r="AF6">
        <v>114.93</v>
      </c>
      <c r="AG6">
        <v>13.61</v>
      </c>
      <c r="AH6">
        <v>0</v>
      </c>
      <c r="AI6">
        <v>1</v>
      </c>
      <c r="AJ6">
        <v>7.12</v>
      </c>
      <c r="AK6">
        <v>18.329999999999998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6</v>
      </c>
      <c r="AT6">
        <v>2.5899999999999999E-2</v>
      </c>
      <c r="AU6" t="s">
        <v>6</v>
      </c>
      <c r="AV6">
        <v>0</v>
      </c>
      <c r="AW6">
        <v>2</v>
      </c>
      <c r="AX6">
        <v>62803492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142.58478359999998</v>
      </c>
      <c r="CY6">
        <f>AB6</f>
        <v>818.3</v>
      </c>
      <c r="CZ6">
        <f>AF6</f>
        <v>114.93</v>
      </c>
      <c r="DA6">
        <f>AJ6</f>
        <v>7.12</v>
      </c>
      <c r="DB6">
        <f t="shared" si="0"/>
        <v>2.98</v>
      </c>
      <c r="DC6">
        <f t="shared" si="1"/>
        <v>0.35</v>
      </c>
      <c r="DH6">
        <f>Source!I28*SmtRes!Y6</f>
        <v>142.58478359999998</v>
      </c>
      <c r="DI6">
        <f>AB6</f>
        <v>818.3</v>
      </c>
      <c r="DJ6">
        <f>EtalonRes!Z6</f>
        <v>114.93</v>
      </c>
      <c r="DK6">
        <f>Source!BB28</f>
        <v>7.12</v>
      </c>
      <c r="GQ6">
        <v>-1</v>
      </c>
      <c r="GR6">
        <v>-1</v>
      </c>
    </row>
    <row r="7" spans="1:200" x14ac:dyDescent="0.2">
      <c r="A7">
        <f>ROW(Source!A29)</f>
        <v>29</v>
      </c>
      <c r="B7">
        <v>62803415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W7">
        <v>0</v>
      </c>
      <c r="X7">
        <v>-1900352537</v>
      </c>
      <c r="Y7">
        <v>3.65</v>
      </c>
      <c r="AA7">
        <v>0</v>
      </c>
      <c r="AB7">
        <v>0</v>
      </c>
      <c r="AC7">
        <v>0</v>
      </c>
      <c r="AD7">
        <v>7.87</v>
      </c>
      <c r="AE7">
        <v>0</v>
      </c>
      <c r="AF7">
        <v>0</v>
      </c>
      <c r="AG7">
        <v>0</v>
      </c>
      <c r="AH7">
        <v>7.87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6</v>
      </c>
      <c r="AT7">
        <v>3.65</v>
      </c>
      <c r="AU7" t="s">
        <v>6</v>
      </c>
      <c r="AV7">
        <v>1</v>
      </c>
      <c r="AW7">
        <v>2</v>
      </c>
      <c r="AX7">
        <v>62807348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11.682554999999999</v>
      </c>
      <c r="CY7">
        <f>AD7</f>
        <v>7.87</v>
      </c>
      <c r="CZ7">
        <f>AH7</f>
        <v>7.87</v>
      </c>
      <c r="DA7">
        <f>AL7</f>
        <v>1</v>
      </c>
      <c r="DB7">
        <f t="shared" si="0"/>
        <v>28.73</v>
      </c>
      <c r="DC7">
        <f t="shared" si="1"/>
        <v>0</v>
      </c>
      <c r="DH7">
        <f>Source!I29*SmtRes!Y7</f>
        <v>11.682554999999999</v>
      </c>
      <c r="DI7">
        <f>AD7</f>
        <v>7.87</v>
      </c>
      <c r="DJ7">
        <f>EtalonRes!AB7</f>
        <v>7.87</v>
      </c>
      <c r="DK7">
        <f>Source!BA29</f>
        <v>1</v>
      </c>
      <c r="GQ7">
        <v>-1</v>
      </c>
      <c r="GR7">
        <v>-1</v>
      </c>
    </row>
    <row r="8" spans="1:200" x14ac:dyDescent="0.2">
      <c r="A8">
        <f>ROW(Source!A29)</f>
        <v>29</v>
      </c>
      <c r="B8">
        <v>62803415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W8">
        <v>0</v>
      </c>
      <c r="X8">
        <v>-185737400</v>
      </c>
      <c r="Y8">
        <v>3.97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6</v>
      </c>
      <c r="AT8">
        <v>3.97</v>
      </c>
      <c r="AU8" t="s">
        <v>6</v>
      </c>
      <c r="AV8">
        <v>2</v>
      </c>
      <c r="AW8">
        <v>2</v>
      </c>
      <c r="AX8">
        <v>62807349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12.706779000000001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  <c r="DH8">
        <f>Source!I29*SmtRes!Y8</f>
        <v>12.706779000000001</v>
      </c>
      <c r="DI8">
        <f>AD8</f>
        <v>0</v>
      </c>
      <c r="DJ8">
        <f>EtalonRes!AB8</f>
        <v>0</v>
      </c>
      <c r="DK8">
        <f>Source!BA29</f>
        <v>1</v>
      </c>
      <c r="GQ8">
        <v>-1</v>
      </c>
      <c r="GR8">
        <v>-1</v>
      </c>
    </row>
    <row r="9" spans="1:200" x14ac:dyDescent="0.2">
      <c r="A9">
        <f>ROW(Source!A29)</f>
        <v>29</v>
      </c>
      <c r="B9">
        <v>62803415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W9">
        <v>0</v>
      </c>
      <c r="X9">
        <v>82665938</v>
      </c>
      <c r="Y9">
        <v>3.97</v>
      </c>
      <c r="AA9">
        <v>0</v>
      </c>
      <c r="AB9">
        <v>88.79</v>
      </c>
      <c r="AC9">
        <v>13.61</v>
      </c>
      <c r="AD9">
        <v>0</v>
      </c>
      <c r="AE9">
        <v>0</v>
      </c>
      <c r="AF9">
        <v>88.79</v>
      </c>
      <c r="AG9">
        <v>13.61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6</v>
      </c>
      <c r="AT9">
        <v>3.97</v>
      </c>
      <c r="AU9" t="s">
        <v>6</v>
      </c>
      <c r="AV9">
        <v>0</v>
      </c>
      <c r="AW9">
        <v>2</v>
      </c>
      <c r="AX9">
        <v>62807350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12.706779000000001</v>
      </c>
      <c r="CY9">
        <f>AB9</f>
        <v>88.79</v>
      </c>
      <c r="CZ9">
        <f>AF9</f>
        <v>88.79</v>
      </c>
      <c r="DA9">
        <f>AJ9</f>
        <v>1</v>
      </c>
      <c r="DB9">
        <f t="shared" si="0"/>
        <v>352.5</v>
      </c>
      <c r="DC9">
        <f t="shared" si="1"/>
        <v>54.03</v>
      </c>
      <c r="DH9">
        <f>Source!I29*SmtRes!Y9</f>
        <v>12.706779000000001</v>
      </c>
      <c r="DI9">
        <f>AB9</f>
        <v>88.79</v>
      </c>
      <c r="DJ9">
        <f>EtalonRes!Z9</f>
        <v>88.79</v>
      </c>
      <c r="DK9">
        <f>Source!BB29</f>
        <v>1</v>
      </c>
      <c r="GQ9">
        <v>-1</v>
      </c>
      <c r="GR9">
        <v>-1</v>
      </c>
    </row>
    <row r="10" spans="1:200" x14ac:dyDescent="0.2">
      <c r="A10">
        <f>ROW(Source!A29)</f>
        <v>29</v>
      </c>
      <c r="B10">
        <v>62803415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W10">
        <v>0</v>
      </c>
      <c r="X10">
        <v>-1565846336</v>
      </c>
      <c r="Y10">
        <v>0.08</v>
      </c>
      <c r="AA10">
        <v>0</v>
      </c>
      <c r="AB10">
        <v>115.67</v>
      </c>
      <c r="AC10">
        <v>11.69</v>
      </c>
      <c r="AD10">
        <v>0</v>
      </c>
      <c r="AE10">
        <v>0</v>
      </c>
      <c r="AF10">
        <v>115.67</v>
      </c>
      <c r="AG10">
        <v>11.69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6</v>
      </c>
      <c r="AT10">
        <v>0.08</v>
      </c>
      <c r="AU10" t="s">
        <v>6</v>
      </c>
      <c r="AV10">
        <v>0</v>
      </c>
      <c r="AW10">
        <v>2</v>
      </c>
      <c r="AX10">
        <v>62807351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0.25605600000000001</v>
      </c>
      <c r="CY10">
        <f>AB10</f>
        <v>115.67</v>
      </c>
      <c r="CZ10">
        <f>AF10</f>
        <v>115.67</v>
      </c>
      <c r="DA10">
        <f>AJ10</f>
        <v>1</v>
      </c>
      <c r="DB10">
        <f t="shared" si="0"/>
        <v>9.25</v>
      </c>
      <c r="DC10">
        <f t="shared" si="1"/>
        <v>0.94</v>
      </c>
      <c r="DH10">
        <f>Source!I29*SmtRes!Y10</f>
        <v>0.25605600000000001</v>
      </c>
      <c r="DI10">
        <f>AB10</f>
        <v>115.67</v>
      </c>
      <c r="DJ10">
        <f>EtalonRes!Z10</f>
        <v>115.67</v>
      </c>
      <c r="DK10">
        <f>Source!BB29</f>
        <v>1</v>
      </c>
      <c r="GQ10">
        <v>-1</v>
      </c>
      <c r="GR10">
        <v>-1</v>
      </c>
    </row>
    <row r="11" spans="1:200" x14ac:dyDescent="0.2">
      <c r="A11">
        <f>ROW(Source!A30)</f>
        <v>30</v>
      </c>
      <c r="B11">
        <v>62803416</v>
      </c>
      <c r="C11">
        <v>62803493</v>
      </c>
      <c r="D11">
        <v>27493207</v>
      </c>
      <c r="E11">
        <v>1</v>
      </c>
      <c r="F11">
        <v>1</v>
      </c>
      <c r="G11">
        <v>1</v>
      </c>
      <c r="H11">
        <v>1</v>
      </c>
      <c r="I11" t="s">
        <v>182</v>
      </c>
      <c r="J11" t="s">
        <v>6</v>
      </c>
      <c r="K11" t="s">
        <v>183</v>
      </c>
      <c r="L11">
        <v>1369</v>
      </c>
      <c r="N11">
        <v>1013</v>
      </c>
      <c r="O11" t="s">
        <v>184</v>
      </c>
      <c r="P11" t="s">
        <v>184</v>
      </c>
      <c r="Q11">
        <v>1</v>
      </c>
      <c r="W11">
        <v>0</v>
      </c>
      <c r="X11">
        <v>-1900352537</v>
      </c>
      <c r="Y11">
        <v>3.65</v>
      </c>
      <c r="AA11">
        <v>0</v>
      </c>
      <c r="AB11">
        <v>0</v>
      </c>
      <c r="AC11">
        <v>0</v>
      </c>
      <c r="AD11">
        <v>199.35</v>
      </c>
      <c r="AE11">
        <v>0</v>
      </c>
      <c r="AF11">
        <v>0</v>
      </c>
      <c r="AG11">
        <v>0</v>
      </c>
      <c r="AH11">
        <v>7.87</v>
      </c>
      <c r="AI11">
        <v>1</v>
      </c>
      <c r="AJ11">
        <v>1</v>
      </c>
      <c r="AK11">
        <v>1</v>
      </c>
      <c r="AL11">
        <v>25.33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6</v>
      </c>
      <c r="AT11">
        <v>3.65</v>
      </c>
      <c r="AU11" t="s">
        <v>6</v>
      </c>
      <c r="AV11">
        <v>1</v>
      </c>
      <c r="AW11">
        <v>2</v>
      </c>
      <c r="AX11">
        <v>62807348</v>
      </c>
      <c r="AY11">
        <v>1</v>
      </c>
      <c r="AZ11">
        <v>0</v>
      </c>
      <c r="BA11">
        <v>12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Y11*Source!I30</f>
        <v>11.682554999999999</v>
      </c>
      <c r="CY11">
        <f>AD11</f>
        <v>199.35</v>
      </c>
      <c r="CZ11">
        <f>AH11</f>
        <v>7.87</v>
      </c>
      <c r="DA11">
        <f>AL11</f>
        <v>25.33</v>
      </c>
      <c r="DB11">
        <f t="shared" si="0"/>
        <v>28.73</v>
      </c>
      <c r="DC11">
        <f t="shared" si="1"/>
        <v>0</v>
      </c>
      <c r="DH11">
        <f>Source!I30*SmtRes!Y11</f>
        <v>11.682554999999999</v>
      </c>
      <c r="DI11">
        <f>AD11</f>
        <v>199.35</v>
      </c>
      <c r="DJ11">
        <f>EtalonRes!AB12</f>
        <v>7.87</v>
      </c>
      <c r="DK11">
        <f>Source!BA30</f>
        <v>25.33</v>
      </c>
      <c r="GQ11">
        <v>-1</v>
      </c>
      <c r="GR11">
        <v>-1</v>
      </c>
    </row>
    <row r="12" spans="1:200" x14ac:dyDescent="0.2">
      <c r="A12">
        <f>ROW(Source!A30)</f>
        <v>30</v>
      </c>
      <c r="B12">
        <v>62803416</v>
      </c>
      <c r="C12">
        <v>62803493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25</v>
      </c>
      <c r="J12" t="s">
        <v>6</v>
      </c>
      <c r="K12" t="s">
        <v>173</v>
      </c>
      <c r="L12">
        <v>608254</v>
      </c>
      <c r="N12">
        <v>1013</v>
      </c>
      <c r="O12" t="s">
        <v>174</v>
      </c>
      <c r="P12" t="s">
        <v>174</v>
      </c>
      <c r="Q12">
        <v>1</v>
      </c>
      <c r="W12">
        <v>0</v>
      </c>
      <c r="X12">
        <v>-185737400</v>
      </c>
      <c r="Y12">
        <v>3.97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18.329999999999998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6</v>
      </c>
      <c r="AT12">
        <v>3.97</v>
      </c>
      <c r="AU12" t="s">
        <v>6</v>
      </c>
      <c r="AV12">
        <v>2</v>
      </c>
      <c r="AW12">
        <v>2</v>
      </c>
      <c r="AX12">
        <v>62807349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Y12*Source!I30</f>
        <v>12.706779000000001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  <c r="DH12">
        <f>Source!I30*SmtRes!Y12</f>
        <v>12.706779000000001</v>
      </c>
      <c r="DI12">
        <f>AD12</f>
        <v>0</v>
      </c>
      <c r="DJ12">
        <f>EtalonRes!AB13</f>
        <v>0</v>
      </c>
      <c r="DK12">
        <f>Source!BA30</f>
        <v>25.33</v>
      </c>
      <c r="GQ12">
        <v>-1</v>
      </c>
      <c r="GR12">
        <v>-1</v>
      </c>
    </row>
    <row r="13" spans="1:200" x14ac:dyDescent="0.2">
      <c r="A13">
        <f>ROW(Source!A30)</f>
        <v>30</v>
      </c>
      <c r="B13">
        <v>62803416</v>
      </c>
      <c r="C13">
        <v>62803493</v>
      </c>
      <c r="D13">
        <v>27439851</v>
      </c>
      <c r="E13">
        <v>1</v>
      </c>
      <c r="F13">
        <v>1</v>
      </c>
      <c r="G13">
        <v>1</v>
      </c>
      <c r="H13">
        <v>2</v>
      </c>
      <c r="I13" t="s">
        <v>185</v>
      </c>
      <c r="J13" t="s">
        <v>186</v>
      </c>
      <c r="K13" t="s">
        <v>187</v>
      </c>
      <c r="L13">
        <v>1368</v>
      </c>
      <c r="N13">
        <v>1011</v>
      </c>
      <c r="O13" t="s">
        <v>178</v>
      </c>
      <c r="P13" t="s">
        <v>178</v>
      </c>
      <c r="Q13">
        <v>1</v>
      </c>
      <c r="W13">
        <v>0</v>
      </c>
      <c r="X13">
        <v>82665938</v>
      </c>
      <c r="Y13">
        <v>3.97</v>
      </c>
      <c r="AA13">
        <v>0</v>
      </c>
      <c r="AB13">
        <v>569.14</v>
      </c>
      <c r="AC13">
        <v>249.47</v>
      </c>
      <c r="AD13">
        <v>0</v>
      </c>
      <c r="AE13">
        <v>0</v>
      </c>
      <c r="AF13">
        <v>88.79</v>
      </c>
      <c r="AG13">
        <v>13.61</v>
      </c>
      <c r="AH13">
        <v>0</v>
      </c>
      <c r="AI13">
        <v>1</v>
      </c>
      <c r="AJ13">
        <v>6.41</v>
      </c>
      <c r="AK13">
        <v>18.329999999999998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6</v>
      </c>
      <c r="AT13">
        <v>3.97</v>
      </c>
      <c r="AU13" t="s">
        <v>6</v>
      </c>
      <c r="AV13">
        <v>0</v>
      </c>
      <c r="AW13">
        <v>2</v>
      </c>
      <c r="AX13">
        <v>62807350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Y13*Source!I30</f>
        <v>12.706779000000001</v>
      </c>
      <c r="CY13">
        <f>AB13</f>
        <v>569.14</v>
      </c>
      <c r="CZ13">
        <f>AF13</f>
        <v>88.79</v>
      </c>
      <c r="DA13">
        <f>AJ13</f>
        <v>6.41</v>
      </c>
      <c r="DB13">
        <f t="shared" si="0"/>
        <v>352.5</v>
      </c>
      <c r="DC13">
        <f t="shared" si="1"/>
        <v>54.03</v>
      </c>
      <c r="DH13">
        <f>Source!I30*SmtRes!Y13</f>
        <v>12.706779000000001</v>
      </c>
      <c r="DI13">
        <f>AB13</f>
        <v>569.14</v>
      </c>
      <c r="DJ13">
        <f>EtalonRes!Z14</f>
        <v>88.79</v>
      </c>
      <c r="DK13">
        <f>Source!BB30</f>
        <v>6.41</v>
      </c>
      <c r="GQ13">
        <v>-1</v>
      </c>
      <c r="GR13">
        <v>-1</v>
      </c>
    </row>
    <row r="14" spans="1:200" x14ac:dyDescent="0.2">
      <c r="A14">
        <f>ROW(Source!A30)</f>
        <v>30</v>
      </c>
      <c r="B14">
        <v>62803416</v>
      </c>
      <c r="C14">
        <v>62803493</v>
      </c>
      <c r="D14">
        <v>27441334</v>
      </c>
      <c r="E14">
        <v>1</v>
      </c>
      <c r="F14">
        <v>1</v>
      </c>
      <c r="G14">
        <v>1</v>
      </c>
      <c r="H14">
        <v>2</v>
      </c>
      <c r="I14" t="s">
        <v>188</v>
      </c>
      <c r="J14" t="s">
        <v>189</v>
      </c>
      <c r="K14" t="s">
        <v>190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W14">
        <v>0</v>
      </c>
      <c r="X14">
        <v>-1565846336</v>
      </c>
      <c r="Y14">
        <v>0.08</v>
      </c>
      <c r="AA14">
        <v>0</v>
      </c>
      <c r="AB14">
        <v>741.44</v>
      </c>
      <c r="AC14">
        <v>214.28</v>
      </c>
      <c r="AD14">
        <v>0</v>
      </c>
      <c r="AE14">
        <v>0</v>
      </c>
      <c r="AF14">
        <v>115.67</v>
      </c>
      <c r="AG14">
        <v>11.69</v>
      </c>
      <c r="AH14">
        <v>0</v>
      </c>
      <c r="AI14">
        <v>1</v>
      </c>
      <c r="AJ14">
        <v>6.41</v>
      </c>
      <c r="AK14">
        <v>18.329999999999998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6</v>
      </c>
      <c r="AT14">
        <v>0.08</v>
      </c>
      <c r="AU14" t="s">
        <v>6</v>
      </c>
      <c r="AV14">
        <v>0</v>
      </c>
      <c r="AW14">
        <v>2</v>
      </c>
      <c r="AX14">
        <v>62807351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Y14*Source!I30</f>
        <v>0.25605600000000001</v>
      </c>
      <c r="CY14">
        <f>AB14</f>
        <v>741.44</v>
      </c>
      <c r="CZ14">
        <f>AF14</f>
        <v>115.67</v>
      </c>
      <c r="DA14">
        <f>AJ14</f>
        <v>6.41</v>
      </c>
      <c r="DB14">
        <f t="shared" si="0"/>
        <v>9.25</v>
      </c>
      <c r="DC14">
        <f t="shared" si="1"/>
        <v>0.94</v>
      </c>
      <c r="DH14">
        <f>Source!I30*SmtRes!Y14</f>
        <v>0.25605600000000001</v>
      </c>
      <c r="DI14">
        <f>AB14</f>
        <v>741.44</v>
      </c>
      <c r="DJ14">
        <f>EtalonRes!Z15</f>
        <v>115.67</v>
      </c>
      <c r="DK14">
        <f>Source!BB30</f>
        <v>6.41</v>
      </c>
      <c r="GQ14">
        <v>-1</v>
      </c>
      <c r="GR14">
        <v>-1</v>
      </c>
    </row>
    <row r="15" spans="1:200" x14ac:dyDescent="0.2">
      <c r="A15">
        <f>ROW(Source!A31)</f>
        <v>31</v>
      </c>
      <c r="B15">
        <v>62803415</v>
      </c>
      <c r="C15">
        <v>62803503</v>
      </c>
      <c r="D15">
        <v>27493207</v>
      </c>
      <c r="E15">
        <v>1</v>
      </c>
      <c r="F15">
        <v>1</v>
      </c>
      <c r="G15">
        <v>1</v>
      </c>
      <c r="H15">
        <v>1</v>
      </c>
      <c r="I15" t="s">
        <v>182</v>
      </c>
      <c r="J15" t="s">
        <v>6</v>
      </c>
      <c r="K15" t="s">
        <v>183</v>
      </c>
      <c r="L15">
        <v>1369</v>
      </c>
      <c r="N15">
        <v>1013</v>
      </c>
      <c r="O15" t="s">
        <v>184</v>
      </c>
      <c r="P15" t="s">
        <v>184</v>
      </c>
      <c r="Q15">
        <v>1</v>
      </c>
      <c r="W15">
        <v>0</v>
      </c>
      <c r="X15">
        <v>-1900352537</v>
      </c>
      <c r="Y15">
        <v>184.79999999999998</v>
      </c>
      <c r="AA15">
        <v>0</v>
      </c>
      <c r="AB15">
        <v>0</v>
      </c>
      <c r="AC15">
        <v>0</v>
      </c>
      <c r="AD15">
        <v>7.87</v>
      </c>
      <c r="AE15">
        <v>0</v>
      </c>
      <c r="AF15">
        <v>0</v>
      </c>
      <c r="AG15">
        <v>0</v>
      </c>
      <c r="AH15">
        <v>7.87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154</v>
      </c>
      <c r="AU15" t="s">
        <v>43</v>
      </c>
      <c r="AV15">
        <v>1</v>
      </c>
      <c r="AW15">
        <v>2</v>
      </c>
      <c r="AX15">
        <v>62807088</v>
      </c>
      <c r="AY15">
        <v>1</v>
      </c>
      <c r="AZ15">
        <v>0</v>
      </c>
      <c r="BA15">
        <v>17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Y15*Source!I31</f>
        <v>266.50007999999997</v>
      </c>
      <c r="CY15">
        <f>AD15</f>
        <v>7.87</v>
      </c>
      <c r="CZ15">
        <f>AH15</f>
        <v>7.87</v>
      </c>
      <c r="DA15">
        <f>AL15</f>
        <v>1</v>
      </c>
      <c r="DB15">
        <f>ROUND((ROUND(AT15*CZ15,2)*1.2),2)</f>
        <v>1454.38</v>
      </c>
      <c r="DC15">
        <f>ROUND((ROUND(AT15*AG15,2)*1.2),2)</f>
        <v>0</v>
      </c>
      <c r="DH15">
        <f>Source!I31*SmtRes!Y15</f>
        <v>266.50007999999997</v>
      </c>
      <c r="DI15">
        <f>AD15</f>
        <v>7.87</v>
      </c>
      <c r="DJ15">
        <f>EtalonRes!AB17</f>
        <v>7.87</v>
      </c>
      <c r="DK15">
        <f>Source!BA31</f>
        <v>1</v>
      </c>
      <c r="GQ15">
        <v>-1</v>
      </c>
      <c r="GR15">
        <v>-1</v>
      </c>
    </row>
    <row r="16" spans="1:200" x14ac:dyDescent="0.2">
      <c r="A16">
        <f>ROW(Source!A32)</f>
        <v>32</v>
      </c>
      <c r="B16">
        <v>62803416</v>
      </c>
      <c r="C16">
        <v>62803503</v>
      </c>
      <c r="D16">
        <v>27493207</v>
      </c>
      <c r="E16">
        <v>1</v>
      </c>
      <c r="F16">
        <v>1</v>
      </c>
      <c r="G16">
        <v>1</v>
      </c>
      <c r="H16">
        <v>1</v>
      </c>
      <c r="I16" t="s">
        <v>182</v>
      </c>
      <c r="J16" t="s">
        <v>6</v>
      </c>
      <c r="K16" t="s">
        <v>183</v>
      </c>
      <c r="L16">
        <v>1369</v>
      </c>
      <c r="N16">
        <v>1013</v>
      </c>
      <c r="O16" t="s">
        <v>184</v>
      </c>
      <c r="P16" t="s">
        <v>184</v>
      </c>
      <c r="Q16">
        <v>1</v>
      </c>
      <c r="W16">
        <v>0</v>
      </c>
      <c r="X16">
        <v>-1900352537</v>
      </c>
      <c r="Y16">
        <v>184.79999999999998</v>
      </c>
      <c r="AA16">
        <v>0</v>
      </c>
      <c r="AB16">
        <v>0</v>
      </c>
      <c r="AC16">
        <v>0</v>
      </c>
      <c r="AD16">
        <v>199.35</v>
      </c>
      <c r="AE16">
        <v>0</v>
      </c>
      <c r="AF16">
        <v>0</v>
      </c>
      <c r="AG16">
        <v>0</v>
      </c>
      <c r="AH16">
        <v>7.87</v>
      </c>
      <c r="AI16">
        <v>1</v>
      </c>
      <c r="AJ16">
        <v>1</v>
      </c>
      <c r="AK16">
        <v>1</v>
      </c>
      <c r="AL16">
        <v>25.33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154</v>
      </c>
      <c r="AU16" t="s">
        <v>43</v>
      </c>
      <c r="AV16">
        <v>1</v>
      </c>
      <c r="AW16">
        <v>2</v>
      </c>
      <c r="AX16">
        <v>62807088</v>
      </c>
      <c r="AY16">
        <v>1</v>
      </c>
      <c r="AZ16">
        <v>0</v>
      </c>
      <c r="BA16">
        <v>18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Y16*Source!I32</f>
        <v>266.50007999999997</v>
      </c>
      <c r="CY16">
        <f>AD16</f>
        <v>199.35</v>
      </c>
      <c r="CZ16">
        <f>AH16</f>
        <v>7.87</v>
      </c>
      <c r="DA16">
        <f>AL16</f>
        <v>25.33</v>
      </c>
      <c r="DB16">
        <f>ROUND((ROUND(AT16*CZ16,2)*1.2),2)</f>
        <v>1454.38</v>
      </c>
      <c r="DC16">
        <f>ROUND((ROUND(AT16*AG16,2)*1.2),2)</f>
        <v>0</v>
      </c>
      <c r="DH16">
        <f>Source!I32*SmtRes!Y16</f>
        <v>266.50007999999997</v>
      </c>
      <c r="DI16">
        <f>AD16</f>
        <v>199.35</v>
      </c>
      <c r="DJ16">
        <f>EtalonRes!AB18</f>
        <v>7.87</v>
      </c>
      <c r="DK16">
        <f>Source!BA32</f>
        <v>25.33</v>
      </c>
      <c r="GQ16">
        <v>-1</v>
      </c>
      <c r="GR1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ROW(Source!A25)</f>
        <v>25</v>
      </c>
      <c r="B1">
        <v>62803663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X1">
        <v>25.96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6</v>
      </c>
      <c r="AG1">
        <v>25.96</v>
      </c>
      <c r="AH1">
        <v>2</v>
      </c>
      <c r="AI1">
        <v>62803663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ROW(Source!A25)</f>
        <v>25</v>
      </c>
      <c r="B2">
        <v>62803664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X2">
        <v>25.96</v>
      </c>
      <c r="Y2">
        <v>0</v>
      </c>
      <c r="Z2">
        <v>122</v>
      </c>
      <c r="AA2">
        <v>13.61</v>
      </c>
      <c r="AB2">
        <v>0</v>
      </c>
      <c r="AC2">
        <v>0</v>
      </c>
      <c r="AD2">
        <v>1</v>
      </c>
      <c r="AE2">
        <v>0</v>
      </c>
      <c r="AF2" t="s">
        <v>6</v>
      </c>
      <c r="AG2">
        <v>25.96</v>
      </c>
      <c r="AH2">
        <v>2</v>
      </c>
      <c r="AI2">
        <v>62803664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ROW(Source!A26)</f>
        <v>26</v>
      </c>
      <c r="B3">
        <v>62803663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X3">
        <v>25.96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6</v>
      </c>
      <c r="AG3">
        <v>25.96</v>
      </c>
      <c r="AH3">
        <v>2</v>
      </c>
      <c r="AI3">
        <v>62803663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62803664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X4">
        <v>25.96</v>
      </c>
      <c r="Y4">
        <v>0</v>
      </c>
      <c r="Z4">
        <v>122</v>
      </c>
      <c r="AA4">
        <v>13.61</v>
      </c>
      <c r="AB4">
        <v>0</v>
      </c>
      <c r="AC4">
        <v>0</v>
      </c>
      <c r="AD4">
        <v>1</v>
      </c>
      <c r="AE4">
        <v>0</v>
      </c>
      <c r="AF4" t="s">
        <v>6</v>
      </c>
      <c r="AG4">
        <v>25.96</v>
      </c>
      <c r="AH4">
        <v>2</v>
      </c>
      <c r="AI4">
        <v>62803664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ROW(Source!A27)</f>
        <v>27</v>
      </c>
      <c r="B5">
        <v>62803492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X5">
        <v>2.5899999999999999E-2</v>
      </c>
      <c r="Y5">
        <v>0</v>
      </c>
      <c r="Z5">
        <v>114.93</v>
      </c>
      <c r="AA5">
        <v>13.61</v>
      </c>
      <c r="AB5">
        <v>0</v>
      </c>
      <c r="AC5">
        <v>0</v>
      </c>
      <c r="AD5">
        <v>1</v>
      </c>
      <c r="AE5">
        <v>0</v>
      </c>
      <c r="AF5" t="s">
        <v>6</v>
      </c>
      <c r="AG5">
        <v>2.5899999999999999E-2</v>
      </c>
      <c r="AH5">
        <v>2</v>
      </c>
      <c r="AI5">
        <v>62803491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62803492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X6">
        <v>2.5899999999999999E-2</v>
      </c>
      <c r="Y6">
        <v>0</v>
      </c>
      <c r="Z6">
        <v>114.93</v>
      </c>
      <c r="AA6">
        <v>13.61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2.5899999999999999E-2</v>
      </c>
      <c r="AH6">
        <v>2</v>
      </c>
      <c r="AI6">
        <v>62803491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62807348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X7">
        <v>3.65</v>
      </c>
      <c r="Y7">
        <v>0</v>
      </c>
      <c r="Z7">
        <v>0</v>
      </c>
      <c r="AA7">
        <v>0</v>
      </c>
      <c r="AB7">
        <v>7.87</v>
      </c>
      <c r="AC7">
        <v>0</v>
      </c>
      <c r="AD7">
        <v>1</v>
      </c>
      <c r="AE7">
        <v>1</v>
      </c>
      <c r="AF7" t="s">
        <v>6</v>
      </c>
      <c r="AG7">
        <v>3.65</v>
      </c>
      <c r="AH7">
        <v>2</v>
      </c>
      <c r="AI7">
        <v>62807348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62807349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X8">
        <v>3.97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6</v>
      </c>
      <c r="AG8">
        <v>3.97</v>
      </c>
      <c r="AH8">
        <v>2</v>
      </c>
      <c r="AI8">
        <v>62807349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62807350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X9">
        <v>3.97</v>
      </c>
      <c r="Y9">
        <v>0</v>
      </c>
      <c r="Z9">
        <v>88.79</v>
      </c>
      <c r="AA9">
        <v>13.61</v>
      </c>
      <c r="AB9">
        <v>0</v>
      </c>
      <c r="AC9">
        <v>0</v>
      </c>
      <c r="AD9">
        <v>1</v>
      </c>
      <c r="AE9">
        <v>0</v>
      </c>
      <c r="AF9" t="s">
        <v>6</v>
      </c>
      <c r="AG9">
        <v>3.97</v>
      </c>
      <c r="AH9">
        <v>2</v>
      </c>
      <c r="AI9">
        <v>62807350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62807351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X10">
        <v>0.08</v>
      </c>
      <c r="Y10">
        <v>0</v>
      </c>
      <c r="Z10">
        <v>115.67</v>
      </c>
      <c r="AA10">
        <v>11.69</v>
      </c>
      <c r="AB10">
        <v>0</v>
      </c>
      <c r="AC10">
        <v>0</v>
      </c>
      <c r="AD10">
        <v>1</v>
      </c>
      <c r="AE10">
        <v>0</v>
      </c>
      <c r="AF10" t="s">
        <v>6</v>
      </c>
      <c r="AG10">
        <v>0.08</v>
      </c>
      <c r="AH10">
        <v>2</v>
      </c>
      <c r="AI10">
        <v>62807351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ROW(Source!A29)</f>
        <v>29</v>
      </c>
      <c r="B11">
        <v>62807352</v>
      </c>
      <c r="C11">
        <v>62803493</v>
      </c>
      <c r="D11">
        <v>27415978</v>
      </c>
      <c r="E11">
        <v>1</v>
      </c>
      <c r="F11">
        <v>1</v>
      </c>
      <c r="G11">
        <v>1</v>
      </c>
      <c r="H11">
        <v>3</v>
      </c>
      <c r="I11" t="s">
        <v>191</v>
      </c>
      <c r="J11" t="s">
        <v>192</v>
      </c>
      <c r="K11" t="s">
        <v>193</v>
      </c>
      <c r="L11">
        <v>1339</v>
      </c>
      <c r="N11">
        <v>1007</v>
      </c>
      <c r="O11" t="s">
        <v>194</v>
      </c>
      <c r="P11" t="s">
        <v>194</v>
      </c>
      <c r="Q11">
        <v>1</v>
      </c>
      <c r="X11">
        <v>0.04</v>
      </c>
      <c r="Y11">
        <v>109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6</v>
      </c>
      <c r="AG11">
        <v>0.04</v>
      </c>
      <c r="AH11">
        <v>3</v>
      </c>
      <c r="AI11">
        <v>-1</v>
      </c>
      <c r="AJ11" t="s">
        <v>6</v>
      </c>
      <c r="AK11">
        <v>4</v>
      </c>
      <c r="AL11">
        <v>-4.3600000000000003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</row>
    <row r="12" spans="1:44" x14ac:dyDescent="0.2">
      <c r="A12">
        <f>ROW(Source!A30)</f>
        <v>30</v>
      </c>
      <c r="B12">
        <v>62807348</v>
      </c>
      <c r="C12">
        <v>62803493</v>
      </c>
      <c r="D12">
        <v>27493207</v>
      </c>
      <c r="E12">
        <v>1</v>
      </c>
      <c r="F12">
        <v>1</v>
      </c>
      <c r="G12">
        <v>1</v>
      </c>
      <c r="H12">
        <v>1</v>
      </c>
      <c r="I12" t="s">
        <v>182</v>
      </c>
      <c r="J12" t="s">
        <v>6</v>
      </c>
      <c r="K12" t="s">
        <v>183</v>
      </c>
      <c r="L12">
        <v>1369</v>
      </c>
      <c r="N12">
        <v>1013</v>
      </c>
      <c r="O12" t="s">
        <v>184</v>
      </c>
      <c r="P12" t="s">
        <v>184</v>
      </c>
      <c r="Q12">
        <v>1</v>
      </c>
      <c r="X12">
        <v>3.65</v>
      </c>
      <c r="Y12">
        <v>0</v>
      </c>
      <c r="Z12">
        <v>0</v>
      </c>
      <c r="AA12">
        <v>0</v>
      </c>
      <c r="AB12">
        <v>7.87</v>
      </c>
      <c r="AC12">
        <v>0</v>
      </c>
      <c r="AD12">
        <v>1</v>
      </c>
      <c r="AE12">
        <v>1</v>
      </c>
      <c r="AF12" t="s">
        <v>6</v>
      </c>
      <c r="AG12">
        <v>3.65</v>
      </c>
      <c r="AH12">
        <v>2</v>
      </c>
      <c r="AI12">
        <v>62807348</v>
      </c>
      <c r="AJ12">
        <v>11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62807349</v>
      </c>
      <c r="C13">
        <v>62803493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25</v>
      </c>
      <c r="J13" t="s">
        <v>6</v>
      </c>
      <c r="K13" t="s">
        <v>173</v>
      </c>
      <c r="L13">
        <v>608254</v>
      </c>
      <c r="N13">
        <v>1013</v>
      </c>
      <c r="O13" t="s">
        <v>174</v>
      </c>
      <c r="P13" t="s">
        <v>174</v>
      </c>
      <c r="Q13">
        <v>1</v>
      </c>
      <c r="X13">
        <v>3.97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2</v>
      </c>
      <c r="AF13" t="s">
        <v>6</v>
      </c>
      <c r="AG13">
        <v>3.97</v>
      </c>
      <c r="AH13">
        <v>2</v>
      </c>
      <c r="AI13">
        <v>62807349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62807350</v>
      </c>
      <c r="C14">
        <v>62803493</v>
      </c>
      <c r="D14">
        <v>27439851</v>
      </c>
      <c r="E14">
        <v>1</v>
      </c>
      <c r="F14">
        <v>1</v>
      </c>
      <c r="G14">
        <v>1</v>
      </c>
      <c r="H14">
        <v>2</v>
      </c>
      <c r="I14" t="s">
        <v>185</v>
      </c>
      <c r="J14" t="s">
        <v>186</v>
      </c>
      <c r="K14" t="s">
        <v>187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X14">
        <v>3.97</v>
      </c>
      <c r="Y14">
        <v>0</v>
      </c>
      <c r="Z14">
        <v>88.79</v>
      </c>
      <c r="AA14">
        <v>13.61</v>
      </c>
      <c r="AB14">
        <v>0</v>
      </c>
      <c r="AC14">
        <v>0</v>
      </c>
      <c r="AD14">
        <v>1</v>
      </c>
      <c r="AE14">
        <v>0</v>
      </c>
      <c r="AF14" t="s">
        <v>6</v>
      </c>
      <c r="AG14">
        <v>3.97</v>
      </c>
      <c r="AH14">
        <v>2</v>
      </c>
      <c r="AI14">
        <v>62807350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62807351</v>
      </c>
      <c r="C15">
        <v>62803493</v>
      </c>
      <c r="D15">
        <v>27441334</v>
      </c>
      <c r="E15">
        <v>1</v>
      </c>
      <c r="F15">
        <v>1</v>
      </c>
      <c r="G15">
        <v>1</v>
      </c>
      <c r="H15">
        <v>2</v>
      </c>
      <c r="I15" t="s">
        <v>188</v>
      </c>
      <c r="J15" t="s">
        <v>189</v>
      </c>
      <c r="K15" t="s">
        <v>190</v>
      </c>
      <c r="L15">
        <v>1368</v>
      </c>
      <c r="N15">
        <v>1011</v>
      </c>
      <c r="O15" t="s">
        <v>178</v>
      </c>
      <c r="P15" t="s">
        <v>178</v>
      </c>
      <c r="Q15">
        <v>1</v>
      </c>
      <c r="X15">
        <v>0.08</v>
      </c>
      <c r="Y15">
        <v>0</v>
      </c>
      <c r="Z15">
        <v>115.67</v>
      </c>
      <c r="AA15">
        <v>11.69</v>
      </c>
      <c r="AB15">
        <v>0</v>
      </c>
      <c r="AC15">
        <v>0</v>
      </c>
      <c r="AD15">
        <v>1</v>
      </c>
      <c r="AE15">
        <v>0</v>
      </c>
      <c r="AF15" t="s">
        <v>6</v>
      </c>
      <c r="AG15">
        <v>0.08</v>
      </c>
      <c r="AH15">
        <v>2</v>
      </c>
      <c r="AI15">
        <v>62807351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ROW(Source!A30)</f>
        <v>30</v>
      </c>
      <c r="B16">
        <v>62807352</v>
      </c>
      <c r="C16">
        <v>62803493</v>
      </c>
      <c r="D16">
        <v>27415978</v>
      </c>
      <c r="E16">
        <v>1</v>
      </c>
      <c r="F16">
        <v>1</v>
      </c>
      <c r="G16">
        <v>1</v>
      </c>
      <c r="H16">
        <v>3</v>
      </c>
      <c r="I16" t="s">
        <v>191</v>
      </c>
      <c r="J16" t="s">
        <v>192</v>
      </c>
      <c r="K16" t="s">
        <v>193</v>
      </c>
      <c r="L16">
        <v>1339</v>
      </c>
      <c r="N16">
        <v>1007</v>
      </c>
      <c r="O16" t="s">
        <v>194</v>
      </c>
      <c r="P16" t="s">
        <v>194</v>
      </c>
      <c r="Q16">
        <v>1</v>
      </c>
      <c r="X16">
        <v>0.04</v>
      </c>
      <c r="Y16">
        <v>109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0.04</v>
      </c>
      <c r="AH16">
        <v>3</v>
      </c>
      <c r="AI16">
        <v>-1</v>
      </c>
      <c r="AJ16" t="s">
        <v>6</v>
      </c>
      <c r="AK16">
        <v>4</v>
      </c>
      <c r="AL16">
        <v>-4.3600000000000003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</row>
    <row r="17" spans="1:44" x14ac:dyDescent="0.2">
      <c r="A17">
        <f>ROW(Source!A31)</f>
        <v>31</v>
      </c>
      <c r="B17">
        <v>62807088</v>
      </c>
      <c r="C17">
        <v>62803503</v>
      </c>
      <c r="D17">
        <v>27493207</v>
      </c>
      <c r="E17">
        <v>1</v>
      </c>
      <c r="F17">
        <v>1</v>
      </c>
      <c r="G17">
        <v>1</v>
      </c>
      <c r="H17">
        <v>1</v>
      </c>
      <c r="I17" t="s">
        <v>182</v>
      </c>
      <c r="J17" t="s">
        <v>6</v>
      </c>
      <c r="K17" t="s">
        <v>183</v>
      </c>
      <c r="L17">
        <v>1369</v>
      </c>
      <c r="N17">
        <v>1013</v>
      </c>
      <c r="O17" t="s">
        <v>184</v>
      </c>
      <c r="P17" t="s">
        <v>184</v>
      </c>
      <c r="Q17">
        <v>1</v>
      </c>
      <c r="X17">
        <v>154</v>
      </c>
      <c r="Y17">
        <v>0</v>
      </c>
      <c r="Z17">
        <v>0</v>
      </c>
      <c r="AA17">
        <v>0</v>
      </c>
      <c r="AB17">
        <v>7.87</v>
      </c>
      <c r="AC17">
        <v>0</v>
      </c>
      <c r="AD17">
        <v>1</v>
      </c>
      <c r="AE17">
        <v>1</v>
      </c>
      <c r="AF17" t="s">
        <v>43</v>
      </c>
      <c r="AG17">
        <v>184.79999999999998</v>
      </c>
      <c r="AH17">
        <v>2</v>
      </c>
      <c r="AI17">
        <v>62807088</v>
      </c>
      <c r="AJ17">
        <v>15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62807088</v>
      </c>
      <c r="C18">
        <v>62803503</v>
      </c>
      <c r="D18">
        <v>27493207</v>
      </c>
      <c r="E18">
        <v>1</v>
      </c>
      <c r="F18">
        <v>1</v>
      </c>
      <c r="G18">
        <v>1</v>
      </c>
      <c r="H18">
        <v>1</v>
      </c>
      <c r="I18" t="s">
        <v>182</v>
      </c>
      <c r="J18" t="s">
        <v>6</v>
      </c>
      <c r="K18" t="s">
        <v>183</v>
      </c>
      <c r="L18">
        <v>1369</v>
      </c>
      <c r="N18">
        <v>1013</v>
      </c>
      <c r="O18" t="s">
        <v>184</v>
      </c>
      <c r="P18" t="s">
        <v>184</v>
      </c>
      <c r="Q18">
        <v>1</v>
      </c>
      <c r="X18">
        <v>154</v>
      </c>
      <c r="Y18">
        <v>0</v>
      </c>
      <c r="Z18">
        <v>0</v>
      </c>
      <c r="AA18">
        <v>0</v>
      </c>
      <c r="AB18">
        <v>7.87</v>
      </c>
      <c r="AC18">
        <v>0</v>
      </c>
      <c r="AD18">
        <v>1</v>
      </c>
      <c r="AE18">
        <v>1</v>
      </c>
      <c r="AF18" t="s">
        <v>43</v>
      </c>
      <c r="AG18">
        <v>184.79999999999998</v>
      </c>
      <c r="AH18">
        <v>2</v>
      </c>
      <c r="AI18">
        <v>62807088</v>
      </c>
      <c r="AJ18">
        <v>16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48"/>
  <sheetViews>
    <sheetView topLeftCell="A22" workbookViewId="0">
      <selection activeCell="E22" sqref="E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03" t="s">
        <v>211</v>
      </c>
      <c r="B1" s="303"/>
      <c r="C1" s="303"/>
      <c r="D1" s="303"/>
      <c r="E1" s="303"/>
      <c r="F1" s="303"/>
      <c r="G1" s="303"/>
    </row>
    <row r="3" spans="1:255" x14ac:dyDescent="0.2">
      <c r="A3" s="20" t="s">
        <v>218</v>
      </c>
      <c r="B3" s="19"/>
      <c r="C3" s="304"/>
      <c r="D3" s="305"/>
      <c r="E3" s="305"/>
      <c r="F3" s="305"/>
      <c r="G3" s="305"/>
      <c r="BR3" s="22">
        <f>C3</f>
        <v>0</v>
      </c>
      <c r="IU3" s="23"/>
    </row>
    <row r="4" spans="1:255" x14ac:dyDescent="0.2">
      <c r="A4" s="20" t="s">
        <v>220</v>
      </c>
      <c r="B4" s="19"/>
      <c r="C4" s="306"/>
      <c r="D4" s="307"/>
      <c r="E4" s="307"/>
      <c r="F4" s="307"/>
      <c r="G4" s="307"/>
      <c r="BR4" s="22">
        <f>C4</f>
        <v>0</v>
      </c>
      <c r="IU4" s="23"/>
    </row>
    <row r="5" spans="1:255" x14ac:dyDescent="0.2">
      <c r="A5" s="20" t="s">
        <v>221</v>
      </c>
      <c r="B5" s="19"/>
      <c r="C5" s="306"/>
      <c r="D5" s="307"/>
      <c r="E5" s="307"/>
      <c r="F5" s="307"/>
      <c r="G5" s="307"/>
      <c r="BR5" s="22">
        <f>C5</f>
        <v>0</v>
      </c>
      <c r="IU5" s="23"/>
    </row>
    <row r="6" spans="1:255" x14ac:dyDescent="0.2">
      <c r="A6" s="20" t="s">
        <v>222</v>
      </c>
      <c r="B6" s="19"/>
      <c r="C6" s="308"/>
      <c r="D6" s="309"/>
      <c r="E6" s="309"/>
      <c r="F6" s="309"/>
      <c r="G6" s="309"/>
      <c r="BR6" s="22">
        <f>C6</f>
        <v>0</v>
      </c>
      <c r="IU6" s="23"/>
    </row>
    <row r="7" spans="1:255" x14ac:dyDescent="0.2">
      <c r="A7" s="310"/>
      <c r="B7" s="310"/>
      <c r="C7" s="310"/>
      <c r="D7" s="310"/>
      <c r="E7" s="310"/>
      <c r="F7" s="310"/>
      <c r="G7" s="310"/>
    </row>
    <row r="8" spans="1:255" ht="18.75" x14ac:dyDescent="0.3">
      <c r="A8" s="311" t="s">
        <v>371</v>
      </c>
      <c r="B8" s="311"/>
      <c r="C8" s="311"/>
      <c r="D8" s="311"/>
      <c r="E8" s="311"/>
      <c r="F8" s="311"/>
      <c r="G8" s="311"/>
    </row>
    <row r="9" spans="1:255" x14ac:dyDescent="0.2">
      <c r="A9" s="312"/>
      <c r="B9" s="312"/>
      <c r="C9" s="312"/>
      <c r="D9" s="312"/>
      <c r="E9" s="312"/>
      <c r="F9" s="312"/>
      <c r="G9" s="312"/>
    </row>
    <row r="10" spans="1:255" x14ac:dyDescent="0.2">
      <c r="A10" s="312"/>
      <c r="B10" s="312"/>
      <c r="C10" s="312"/>
      <c r="D10" s="312"/>
      <c r="E10" s="312"/>
      <c r="F10" s="312"/>
      <c r="G10" s="312"/>
    </row>
    <row r="11" spans="1:255" ht="47.25" x14ac:dyDescent="0.25">
      <c r="A11" s="14" t="s">
        <v>349</v>
      </c>
      <c r="B11" s="313" t="s">
        <v>4</v>
      </c>
      <c r="C11" s="313"/>
      <c r="D11" s="313"/>
      <c r="E11" s="313"/>
      <c r="F11" s="313"/>
      <c r="G11" s="313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14" t="s">
        <v>4</v>
      </c>
      <c r="C12" s="314"/>
      <c r="D12" s="314"/>
      <c r="E12" s="314"/>
      <c r="F12" s="314"/>
      <c r="G12" s="314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01" t="s">
        <v>244</v>
      </c>
      <c r="C13" s="302"/>
      <c r="D13" s="302"/>
      <c r="E13" s="302"/>
      <c r="F13" s="302"/>
      <c r="G13" s="302"/>
      <c r="BT13" s="22">
        <f>C13</f>
        <v>0</v>
      </c>
      <c r="IU13" s="23"/>
    </row>
    <row r="15" spans="1:255" x14ac:dyDescent="0.2">
      <c r="A15" s="14" t="s">
        <v>372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373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68">
        <v>1</v>
      </c>
      <c r="B20" s="168">
        <v>2</v>
      </c>
      <c r="C20" s="168">
        <v>3</v>
      </c>
      <c r="D20" s="168">
        <v>4</v>
      </c>
      <c r="E20" s="168">
        <v>5</v>
      </c>
      <c r="F20" s="168">
        <v>6</v>
      </c>
      <c r="G20" s="168">
        <v>7</v>
      </c>
      <c r="H20" s="168">
        <v>8</v>
      </c>
      <c r="I20" s="169">
        <v>9</v>
      </c>
    </row>
    <row r="21" spans="1:255" x14ac:dyDescent="0.2">
      <c r="A21" s="184"/>
      <c r="B21" s="184" t="s">
        <v>374</v>
      </c>
      <c r="C21" s="184"/>
      <c r="D21" s="184"/>
      <c r="E21" s="184"/>
      <c r="F21" s="184"/>
      <c r="G21" s="181"/>
      <c r="H21" s="181"/>
      <c r="I21" s="181"/>
    </row>
    <row r="22" spans="1:255" s="42" customFormat="1" ht="24" x14ac:dyDescent="0.2">
      <c r="A22" s="185">
        <v>1</v>
      </c>
      <c r="B22" s="186" t="s">
        <v>182</v>
      </c>
      <c r="C22" s="186" t="s">
        <v>183</v>
      </c>
      <c r="D22" s="186" t="s">
        <v>184</v>
      </c>
      <c r="E22" s="187">
        <v>278.18263499999995</v>
      </c>
      <c r="F22" s="188">
        <f>ROUND( 7.87, 2 )</f>
        <v>7.87</v>
      </c>
      <c r="G22" s="189">
        <f>ROUND(E22*F22,0)</f>
        <v>2189</v>
      </c>
      <c r="H22" s="190" t="s">
        <v>377</v>
      </c>
      <c r="I22" s="190" t="s">
        <v>376</v>
      </c>
    </row>
    <row r="23" spans="1:255" s="42" customFormat="1" ht="12" x14ac:dyDescent="0.2">
      <c r="A23" s="185">
        <v>2</v>
      </c>
      <c r="B23" s="186" t="s">
        <v>25</v>
      </c>
      <c r="C23" s="186" t="s">
        <v>173</v>
      </c>
      <c r="D23" s="186" t="s">
        <v>174</v>
      </c>
      <c r="E23" s="187">
        <v>95.796950999999993</v>
      </c>
      <c r="F23" s="188">
        <f>ROUND( 0, 2 )</f>
        <v>0</v>
      </c>
      <c r="G23" s="189">
        <f>ROUND(E23*F23,0)</f>
        <v>0</v>
      </c>
      <c r="H23" s="191" t="s">
        <v>375</v>
      </c>
      <c r="I23" s="191" t="s">
        <v>376</v>
      </c>
    </row>
    <row r="24" spans="1:255" x14ac:dyDescent="0.2">
      <c r="A24" s="181"/>
      <c r="B24" s="181"/>
      <c r="C24" s="182" t="s">
        <v>325</v>
      </c>
      <c r="D24" s="181"/>
      <c r="E24" s="181"/>
      <c r="F24" s="181"/>
      <c r="G24" s="183">
        <f>ROUND(SUM(G22:G23),0)</f>
        <v>2189</v>
      </c>
      <c r="H24" s="181"/>
      <c r="I24" s="181"/>
      <c r="J24" s="23"/>
      <c r="K24" s="180">
        <f>G24</f>
        <v>2189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x14ac:dyDescent="0.2">
      <c r="A25" s="181"/>
      <c r="B25" s="181"/>
      <c r="C25" s="181"/>
      <c r="D25" s="181"/>
      <c r="E25" s="181"/>
      <c r="F25" s="181"/>
      <c r="G25" s="181"/>
      <c r="H25" s="181"/>
      <c r="I25" s="181"/>
    </row>
    <row r="26" spans="1:255" x14ac:dyDescent="0.2">
      <c r="A26" s="184"/>
      <c r="B26" s="184" t="s">
        <v>378</v>
      </c>
      <c r="C26" s="184"/>
      <c r="D26" s="184"/>
      <c r="E26" s="184"/>
      <c r="F26" s="184"/>
      <c r="G26" s="181"/>
      <c r="H26" s="181"/>
      <c r="I26" s="181"/>
    </row>
    <row r="27" spans="1:255" s="42" customFormat="1" ht="48" x14ac:dyDescent="0.2">
      <c r="A27" s="185">
        <v>3</v>
      </c>
      <c r="B27" s="186" t="s">
        <v>175</v>
      </c>
      <c r="C27" s="186" t="s">
        <v>177</v>
      </c>
      <c r="D27" s="186" t="s">
        <v>178</v>
      </c>
      <c r="E27" s="187">
        <v>83.090171999999995</v>
      </c>
      <c r="F27" s="188">
        <f>ROUND( 122, 2 )</f>
        <v>122</v>
      </c>
      <c r="G27" s="189">
        <f>ROUND(E27*F27,0)</f>
        <v>10137</v>
      </c>
      <c r="H27" s="190" t="s">
        <v>379</v>
      </c>
      <c r="I27" s="190" t="s">
        <v>376</v>
      </c>
    </row>
    <row r="28" spans="1:255" s="42" customFormat="1" ht="24" x14ac:dyDescent="0.2">
      <c r="A28" s="185">
        <v>4</v>
      </c>
      <c r="B28" s="186" t="s">
        <v>185</v>
      </c>
      <c r="C28" s="186" t="s">
        <v>187</v>
      </c>
      <c r="D28" s="186" t="s">
        <v>178</v>
      </c>
      <c r="E28" s="187">
        <v>12.706779000000001</v>
      </c>
      <c r="F28" s="188">
        <f>ROUND( 88.79, 2 )</f>
        <v>88.79</v>
      </c>
      <c r="G28" s="189">
        <f>ROUND(E28*F28,0)</f>
        <v>1128</v>
      </c>
      <c r="H28" s="190" t="s">
        <v>381</v>
      </c>
      <c r="I28" s="190" t="s">
        <v>376</v>
      </c>
    </row>
    <row r="29" spans="1:255" s="42" customFormat="1" ht="24" x14ac:dyDescent="0.2">
      <c r="A29" s="185">
        <v>5</v>
      </c>
      <c r="B29" s="186" t="s">
        <v>188</v>
      </c>
      <c r="C29" s="186" t="s">
        <v>190</v>
      </c>
      <c r="D29" s="186" t="s">
        <v>178</v>
      </c>
      <c r="E29" s="187">
        <v>0.25605600000000001</v>
      </c>
      <c r="F29" s="188">
        <f>ROUND( 115.67, 2 )</f>
        <v>115.67</v>
      </c>
      <c r="G29" s="189">
        <f>ROUND(E29*F29,0)</f>
        <v>30</v>
      </c>
      <c r="H29" s="190" t="s">
        <v>382</v>
      </c>
      <c r="I29" s="190" t="s">
        <v>376</v>
      </c>
    </row>
    <row r="30" spans="1:255" s="42" customFormat="1" ht="24" x14ac:dyDescent="0.2">
      <c r="A30" s="185">
        <v>6</v>
      </c>
      <c r="B30" s="186" t="s">
        <v>179</v>
      </c>
      <c r="C30" s="186" t="s">
        <v>181</v>
      </c>
      <c r="D30" s="186" t="s">
        <v>178</v>
      </c>
      <c r="E30" s="187">
        <v>142.58478359999998</v>
      </c>
      <c r="F30" s="188">
        <f>ROUND( 114.93, 2 )</f>
        <v>114.93</v>
      </c>
      <c r="G30" s="189">
        <f>ROUND(E30*F30,0)</f>
        <v>16387</v>
      </c>
      <c r="H30" s="190" t="s">
        <v>380</v>
      </c>
      <c r="I30" s="190" t="s">
        <v>376</v>
      </c>
    </row>
    <row r="31" spans="1:255" x14ac:dyDescent="0.2">
      <c r="A31" s="181"/>
      <c r="B31" s="181"/>
      <c r="C31" s="182" t="s">
        <v>325</v>
      </c>
      <c r="D31" s="181"/>
      <c r="E31" s="181"/>
      <c r="F31" s="181"/>
      <c r="G31" s="183">
        <f>ROUND(SUM(G27:G30),0)</f>
        <v>27682</v>
      </c>
      <c r="H31" s="181"/>
      <c r="I31" s="181"/>
      <c r="J31" s="23"/>
      <c r="K31" s="23"/>
      <c r="L31" s="180">
        <f>G31</f>
        <v>27682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</row>
    <row r="32" spans="1:255" x14ac:dyDescent="0.2">
      <c r="A32" s="32"/>
      <c r="B32" s="100"/>
      <c r="C32" s="100"/>
      <c r="D32" s="100"/>
      <c r="E32" s="100"/>
      <c r="F32" s="100"/>
      <c r="G32" s="177"/>
      <c r="H32" s="100"/>
      <c r="I32" s="177"/>
    </row>
    <row r="34" spans="1:255" x14ac:dyDescent="0.2">
      <c r="C34" s="178" t="s">
        <v>98</v>
      </c>
      <c r="G34" s="179">
        <f>ROUND(SUM(K21:K34) + SUM(L21:L34) + SUM(M21:M34),0)</f>
        <v>29871</v>
      </c>
    </row>
    <row r="35" spans="1:255" x14ac:dyDescent="0.2">
      <c r="C35" s="192" t="s">
        <v>383</v>
      </c>
      <c r="G35" s="179"/>
    </row>
    <row r="36" spans="1:255" x14ac:dyDescent="0.2">
      <c r="C36" s="192" t="s">
        <v>251</v>
      </c>
      <c r="G36" s="179">
        <f>ROUND(SUM(K21:K36),0)</f>
        <v>2189</v>
      </c>
    </row>
    <row r="37" spans="1:255" x14ac:dyDescent="0.2">
      <c r="C37" s="192" t="s">
        <v>303</v>
      </c>
      <c r="G37" s="179">
        <f>ROUND(SUM(L21:L37),0)</f>
        <v>27682</v>
      </c>
    </row>
    <row r="38" spans="1:255" x14ac:dyDescent="0.2">
      <c r="C38" s="192" t="s">
        <v>384</v>
      </c>
      <c r="G38" s="179">
        <f>ROUND(SUM(M21:M38),0)</f>
        <v>0</v>
      </c>
    </row>
    <row r="40" spans="1:255" ht="22.5" x14ac:dyDescent="0.2">
      <c r="A40" s="162" t="s">
        <v>334</v>
      </c>
      <c r="B40" s="162"/>
      <c r="C40" s="174" t="s">
        <v>403</v>
      </c>
      <c r="D40" s="163"/>
      <c r="E40" s="163"/>
      <c r="F40" s="322" t="s">
        <v>7</v>
      </c>
      <c r="G40" s="322"/>
      <c r="BY40" s="164" t="str">
        <f>C40</f>
        <v xml:space="preserve"> Главный инженер сметчик сметно-расчетной службы ООО "ОДСК"</v>
      </c>
      <c r="BZ40" s="164" t="str">
        <f>F40</f>
        <v>Кузнецова У. И.</v>
      </c>
      <c r="IU40" s="23"/>
    </row>
    <row r="41" spans="1:255" s="176" customFormat="1" ht="11.25" x14ac:dyDescent="0.2">
      <c r="A41" s="175"/>
      <c r="B41" s="175"/>
      <c r="C41" s="323" t="s">
        <v>330</v>
      </c>
      <c r="D41" s="323"/>
      <c r="E41" s="323"/>
      <c r="F41" s="323" t="s">
        <v>331</v>
      </c>
      <c r="G41" s="323"/>
    </row>
    <row r="42" spans="1:255" x14ac:dyDescent="0.2">
      <c r="A42" s="18"/>
      <c r="B42" s="18"/>
      <c r="C42" s="18"/>
      <c r="D42" s="11" t="s">
        <v>332</v>
      </c>
      <c r="E42" s="18"/>
      <c r="F42" s="18"/>
      <c r="G42" s="18"/>
    </row>
    <row r="43" spans="1:255" ht="22.5" x14ac:dyDescent="0.2">
      <c r="A43" s="162" t="s">
        <v>335</v>
      </c>
      <c r="B43" s="162"/>
      <c r="C43" s="174" t="s">
        <v>343</v>
      </c>
      <c r="D43" s="163"/>
      <c r="E43" s="163"/>
      <c r="F43" s="322" t="s">
        <v>337</v>
      </c>
      <c r="G43" s="322"/>
      <c r="BY43" s="164" t="str">
        <f>C43</f>
        <v>Руководитель сметно-расчетной службы ООО "ОДСК"</v>
      </c>
      <c r="BZ43" s="164" t="str">
        <f>F43</f>
        <v>Артамонова Ю.А.</v>
      </c>
      <c r="IU43" s="23"/>
    </row>
    <row r="44" spans="1:255" s="176" customFormat="1" ht="11.25" x14ac:dyDescent="0.2">
      <c r="A44" s="175"/>
      <c r="B44" s="175"/>
      <c r="C44" s="323" t="s">
        <v>330</v>
      </c>
      <c r="D44" s="323"/>
      <c r="E44" s="323"/>
      <c r="F44" s="323" t="s">
        <v>331</v>
      </c>
      <c r="G44" s="323"/>
    </row>
    <row r="45" spans="1:255" x14ac:dyDescent="0.2">
      <c r="A45" s="18"/>
      <c r="B45" s="18"/>
      <c r="C45" s="18"/>
      <c r="D45" s="11" t="s">
        <v>332</v>
      </c>
      <c r="E45" s="18"/>
      <c r="F45" s="18"/>
      <c r="G45" s="18"/>
    </row>
    <row r="46" spans="1:255" x14ac:dyDescent="0.2">
      <c r="A46" s="162" t="s">
        <v>221</v>
      </c>
      <c r="B46" s="162"/>
      <c r="C46" s="174" t="s">
        <v>344</v>
      </c>
      <c r="D46" s="163"/>
      <c r="E46" s="163"/>
      <c r="F46" s="322" t="s">
        <v>345</v>
      </c>
      <c r="G46" s="322"/>
      <c r="BY46" s="164" t="str">
        <f>C46</f>
        <v>Руководитель ПТО ООО "ОСУ-2"</v>
      </c>
      <c r="BZ46" s="164" t="str">
        <f>F46</f>
        <v>Когтев В. И.</v>
      </c>
      <c r="IU46" s="23"/>
    </row>
    <row r="47" spans="1:255" s="176" customFormat="1" ht="11.25" x14ac:dyDescent="0.2">
      <c r="A47" s="175"/>
      <c r="B47" s="175"/>
      <c r="C47" s="323" t="s">
        <v>330</v>
      </c>
      <c r="D47" s="323"/>
      <c r="E47" s="323"/>
      <c r="F47" s="323" t="s">
        <v>331</v>
      </c>
      <c r="G47" s="323"/>
    </row>
    <row r="48" spans="1:255" x14ac:dyDescent="0.2">
      <c r="A48" s="18"/>
      <c r="B48" s="18"/>
      <c r="C48" s="18"/>
      <c r="D48" s="11" t="s">
        <v>332</v>
      </c>
      <c r="E48" s="18"/>
      <c r="F48" s="18"/>
      <c r="G48" s="18"/>
    </row>
  </sheetData>
  <sortState ref="A27:IU30">
    <sortCondition ref="B27"/>
    <sortCondition ref="C27"/>
  </sortState>
  <mergeCells count="21">
    <mergeCell ref="F46:G46"/>
    <mergeCell ref="C47:E47"/>
    <mergeCell ref="F47:G47"/>
    <mergeCell ref="F40:G40"/>
    <mergeCell ref="C41:E41"/>
    <mergeCell ref="F41:G41"/>
    <mergeCell ref="F43:G43"/>
    <mergeCell ref="C44:E44"/>
    <mergeCell ref="F44:G44"/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C22" sqref="C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03" t="s">
        <v>211</v>
      </c>
      <c r="B1" s="303"/>
      <c r="C1" s="303"/>
      <c r="D1" s="303"/>
      <c r="E1" s="303"/>
      <c r="F1" s="303"/>
      <c r="G1" s="303"/>
    </row>
    <row r="3" spans="1:255" x14ac:dyDescent="0.2">
      <c r="A3" s="20" t="s">
        <v>218</v>
      </c>
      <c r="B3" s="19"/>
      <c r="C3" s="304"/>
      <c r="D3" s="305"/>
      <c r="E3" s="305"/>
      <c r="F3" s="305"/>
      <c r="G3" s="305"/>
      <c r="BR3" s="22">
        <f>C3</f>
        <v>0</v>
      </c>
      <c r="IU3" s="23"/>
    </row>
    <row r="4" spans="1:255" x14ac:dyDescent="0.2">
      <c r="A4" s="20" t="s">
        <v>220</v>
      </c>
      <c r="B4" s="19"/>
      <c r="C4" s="306"/>
      <c r="D4" s="307"/>
      <c r="E4" s="307"/>
      <c r="F4" s="307"/>
      <c r="G4" s="307"/>
      <c r="BR4" s="22">
        <f>C4</f>
        <v>0</v>
      </c>
      <c r="IU4" s="23"/>
    </row>
    <row r="5" spans="1:255" x14ac:dyDescent="0.2">
      <c r="A5" s="20" t="s">
        <v>221</v>
      </c>
      <c r="B5" s="19"/>
      <c r="C5" s="306"/>
      <c r="D5" s="307"/>
      <c r="E5" s="307"/>
      <c r="F5" s="307"/>
      <c r="G5" s="307"/>
      <c r="BR5" s="22">
        <f>C5</f>
        <v>0</v>
      </c>
      <c r="IU5" s="23"/>
    </row>
    <row r="6" spans="1:255" x14ac:dyDescent="0.2">
      <c r="A6" s="20" t="s">
        <v>222</v>
      </c>
      <c r="B6" s="19"/>
      <c r="C6" s="308"/>
      <c r="D6" s="309"/>
      <c r="E6" s="309"/>
      <c r="F6" s="309"/>
      <c r="G6" s="309"/>
      <c r="BR6" s="22">
        <f>C6</f>
        <v>0</v>
      </c>
      <c r="IU6" s="23"/>
    </row>
    <row r="7" spans="1:255" x14ac:dyDescent="0.2">
      <c r="A7" s="310"/>
      <c r="B7" s="310"/>
      <c r="C7" s="310"/>
      <c r="D7" s="310"/>
      <c r="E7" s="310"/>
      <c r="F7" s="310"/>
      <c r="G7" s="310"/>
    </row>
    <row r="8" spans="1:255" ht="18.75" x14ac:dyDescent="0.3">
      <c r="A8" s="311" t="s">
        <v>347</v>
      </c>
      <c r="B8" s="311"/>
      <c r="C8" s="311"/>
      <c r="D8" s="311"/>
      <c r="E8" s="311"/>
      <c r="F8" s="311"/>
      <c r="G8" s="311"/>
    </row>
    <row r="9" spans="1:255" x14ac:dyDescent="0.2">
      <c r="A9" s="312" t="s">
        <v>370</v>
      </c>
      <c r="B9" s="312"/>
      <c r="C9" s="312"/>
      <c r="D9" s="312"/>
      <c r="E9" s="312"/>
      <c r="F9" s="312"/>
      <c r="G9" s="312"/>
    </row>
    <row r="10" spans="1:255" x14ac:dyDescent="0.2">
      <c r="A10" s="312"/>
      <c r="B10" s="312"/>
      <c r="C10" s="312"/>
      <c r="D10" s="312"/>
      <c r="E10" s="312"/>
      <c r="F10" s="312"/>
      <c r="G10" s="312"/>
    </row>
    <row r="11" spans="1:255" ht="47.25" x14ac:dyDescent="0.25">
      <c r="A11" s="14" t="s">
        <v>224</v>
      </c>
      <c r="B11" s="314" t="s">
        <v>4</v>
      </c>
      <c r="C11" s="314"/>
      <c r="D11" s="314"/>
      <c r="E11" s="314"/>
      <c r="F11" s="314"/>
      <c r="G11" s="314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3" spans="1:255" x14ac:dyDescent="0.2">
      <c r="A13" s="14" t="s">
        <v>239</v>
      </c>
    </row>
    <row r="14" spans="1:255" x14ac:dyDescent="0.2">
      <c r="A14" s="14" t="s">
        <v>240</v>
      </c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360</v>
      </c>
      <c r="F15" s="168" t="s">
        <v>362</v>
      </c>
      <c r="G15" s="168" t="s">
        <v>364</v>
      </c>
      <c r="H15" s="168" t="s">
        <v>366</v>
      </c>
      <c r="I15" s="169" t="s">
        <v>327</v>
      </c>
    </row>
    <row r="16" spans="1:255" x14ac:dyDescent="0.2">
      <c r="A16" s="170" t="s">
        <v>351</v>
      </c>
      <c r="B16" s="170" t="s">
        <v>353</v>
      </c>
      <c r="C16" s="170" t="s">
        <v>356</v>
      </c>
      <c r="D16" s="170" t="s">
        <v>358</v>
      </c>
      <c r="E16" s="170" t="s">
        <v>361</v>
      </c>
      <c r="F16" s="170" t="s">
        <v>363</v>
      </c>
      <c r="G16" s="170" t="s">
        <v>365</v>
      </c>
      <c r="H16" s="170" t="s">
        <v>367</v>
      </c>
      <c r="I16" s="171" t="s">
        <v>272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/>
      <c r="G17" s="170" t="s">
        <v>363</v>
      </c>
      <c r="H17" s="170" t="s">
        <v>368</v>
      </c>
      <c r="I17" s="171"/>
    </row>
    <row r="18" spans="1:255" x14ac:dyDescent="0.2">
      <c r="A18" s="172">
        <v>1</v>
      </c>
      <c r="B18" s="172">
        <v>2</v>
      </c>
      <c r="C18" s="172">
        <v>3</v>
      </c>
      <c r="D18" s="172">
        <v>4</v>
      </c>
      <c r="E18" s="172">
        <v>5</v>
      </c>
      <c r="F18" s="172">
        <v>6</v>
      </c>
      <c r="G18" s="172">
        <v>7</v>
      </c>
      <c r="H18" s="172">
        <v>8</v>
      </c>
      <c r="I18" s="173">
        <v>9</v>
      </c>
    </row>
    <row r="20" spans="1:255" x14ac:dyDescent="0.2">
      <c r="C20" t="s">
        <v>369</v>
      </c>
    </row>
    <row r="22" spans="1:255" ht="22.5" x14ac:dyDescent="0.2">
      <c r="A22" s="162" t="s">
        <v>334</v>
      </c>
      <c r="B22" s="162"/>
      <c r="C22" s="174" t="s">
        <v>403</v>
      </c>
      <c r="D22" s="163"/>
      <c r="E22" s="163"/>
      <c r="F22" s="322" t="s">
        <v>7</v>
      </c>
      <c r="G22" s="322"/>
      <c r="BY22" s="164" t="str">
        <f>C22</f>
        <v xml:space="preserve"> Главный инженер сметчик сметно-расчетной службы ООО "ОДСК"</v>
      </c>
      <c r="BZ22" s="164" t="str">
        <f>F22</f>
        <v>Кузнецова У. И.</v>
      </c>
      <c r="IU22" s="23"/>
    </row>
    <row r="23" spans="1:255" s="176" customFormat="1" ht="11.25" x14ac:dyDescent="0.2">
      <c r="A23" s="175"/>
      <c r="B23" s="175"/>
      <c r="C23" s="323" t="s">
        <v>330</v>
      </c>
      <c r="D23" s="323"/>
      <c r="E23" s="323"/>
      <c r="F23" s="323" t="s">
        <v>331</v>
      </c>
      <c r="G23" s="323"/>
    </row>
    <row r="24" spans="1:255" x14ac:dyDescent="0.2">
      <c r="A24" s="18"/>
      <c r="B24" s="18"/>
      <c r="C24" s="18"/>
      <c r="D24" s="11" t="s">
        <v>332</v>
      </c>
      <c r="E24" s="18"/>
      <c r="F24" s="18"/>
      <c r="G24" s="18"/>
    </row>
    <row r="25" spans="1:255" ht="22.5" x14ac:dyDescent="0.2">
      <c r="A25" s="162" t="s">
        <v>335</v>
      </c>
      <c r="B25" s="162"/>
      <c r="C25" s="174" t="s">
        <v>343</v>
      </c>
      <c r="D25" s="163"/>
      <c r="E25" s="163"/>
      <c r="F25" s="322" t="s">
        <v>337</v>
      </c>
      <c r="G25" s="322"/>
      <c r="BY25" s="164" t="str">
        <f>C25</f>
        <v>Руководитель сметно-расчетной службы ООО "ОДСК"</v>
      </c>
      <c r="BZ25" s="164" t="str">
        <f>F25</f>
        <v>Артамонова Ю.А.</v>
      </c>
      <c r="IU25" s="23"/>
    </row>
    <row r="26" spans="1:255" s="176" customFormat="1" ht="11.25" x14ac:dyDescent="0.2">
      <c r="A26" s="175"/>
      <c r="B26" s="175"/>
      <c r="C26" s="323" t="s">
        <v>330</v>
      </c>
      <c r="D26" s="323"/>
      <c r="E26" s="323"/>
      <c r="F26" s="323" t="s">
        <v>331</v>
      </c>
      <c r="G26" s="323"/>
    </row>
    <row r="27" spans="1:255" x14ac:dyDescent="0.2">
      <c r="A27" s="18"/>
      <c r="B27" s="18"/>
      <c r="C27" s="18"/>
      <c r="D27" s="11" t="s">
        <v>332</v>
      </c>
      <c r="E27" s="18"/>
      <c r="F27" s="18"/>
      <c r="G27" s="18"/>
    </row>
    <row r="28" spans="1:255" x14ac:dyDescent="0.2">
      <c r="A28" s="162" t="s">
        <v>221</v>
      </c>
      <c r="B28" s="162"/>
      <c r="C28" s="174" t="s">
        <v>344</v>
      </c>
      <c r="D28" s="163"/>
      <c r="E28" s="163"/>
      <c r="F28" s="322" t="s">
        <v>345</v>
      </c>
      <c r="G28" s="322"/>
      <c r="BY28" s="164" t="str">
        <f>C28</f>
        <v>Руководитель ПТО ООО "ОСУ-2"</v>
      </c>
      <c r="BZ28" s="164" t="str">
        <f>F28</f>
        <v>Когтев В. И.</v>
      </c>
      <c r="IU28" s="23"/>
    </row>
    <row r="29" spans="1:255" s="176" customFormat="1" ht="11.25" x14ac:dyDescent="0.2">
      <c r="A29" s="175"/>
      <c r="B29" s="175"/>
      <c r="C29" s="323" t="s">
        <v>330</v>
      </c>
      <c r="D29" s="323"/>
      <c r="E29" s="323"/>
      <c r="F29" s="323" t="s">
        <v>331</v>
      </c>
      <c r="G29" s="323"/>
    </row>
    <row r="30" spans="1:255" x14ac:dyDescent="0.2">
      <c r="A30" s="18"/>
      <c r="B30" s="18"/>
      <c r="C30" s="18"/>
      <c r="D30" s="11" t="s">
        <v>332</v>
      </c>
      <c r="E30" s="18"/>
      <c r="F30" s="18"/>
      <c r="G30" s="18"/>
    </row>
    <row r="32" spans="1:255" x14ac:dyDescent="0.2">
      <c r="A32" s="31"/>
      <c r="B32" s="31"/>
    </row>
  </sheetData>
  <mergeCells count="19">
    <mergeCell ref="F25:G25"/>
    <mergeCell ref="C26:E26"/>
    <mergeCell ref="F26:G26"/>
    <mergeCell ref="F28:G28"/>
    <mergeCell ref="C29:E29"/>
    <mergeCell ref="F29:G29"/>
    <mergeCell ref="C23:E23"/>
    <mergeCell ref="F23:G2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F22:G2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F27" sqref="F27:G27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03" t="s">
        <v>211</v>
      </c>
      <c r="B1" s="303"/>
      <c r="C1" s="303"/>
      <c r="D1" s="303"/>
      <c r="E1" s="303"/>
      <c r="F1" s="303"/>
      <c r="G1" s="303"/>
    </row>
    <row r="3" spans="1:255" x14ac:dyDescent="0.2">
      <c r="A3" s="20" t="s">
        <v>218</v>
      </c>
      <c r="B3" s="19"/>
      <c r="C3" s="304"/>
      <c r="D3" s="305"/>
      <c r="E3" s="305"/>
      <c r="F3" s="305"/>
      <c r="G3" s="305"/>
      <c r="BR3" s="22">
        <f>C3</f>
        <v>0</v>
      </c>
      <c r="IU3" s="23"/>
    </row>
    <row r="4" spans="1:255" x14ac:dyDescent="0.2">
      <c r="A4" s="20" t="s">
        <v>220</v>
      </c>
      <c r="B4" s="19"/>
      <c r="C4" s="306"/>
      <c r="D4" s="307"/>
      <c r="E4" s="307"/>
      <c r="F4" s="307"/>
      <c r="G4" s="307"/>
      <c r="BR4" s="22">
        <f>C4</f>
        <v>0</v>
      </c>
      <c r="IU4" s="23"/>
    </row>
    <row r="5" spans="1:255" x14ac:dyDescent="0.2">
      <c r="A5" s="20" t="s">
        <v>221</v>
      </c>
      <c r="B5" s="19"/>
      <c r="C5" s="306"/>
      <c r="D5" s="307"/>
      <c r="E5" s="307"/>
      <c r="F5" s="307"/>
      <c r="G5" s="307"/>
      <c r="BR5" s="22">
        <f>C5</f>
        <v>0</v>
      </c>
      <c r="IU5" s="23"/>
    </row>
    <row r="6" spans="1:255" x14ac:dyDescent="0.2">
      <c r="A6" s="20" t="s">
        <v>222</v>
      </c>
      <c r="B6" s="19"/>
      <c r="C6" s="308"/>
      <c r="D6" s="309"/>
      <c r="E6" s="309"/>
      <c r="F6" s="309"/>
      <c r="G6" s="309"/>
      <c r="BR6" s="22">
        <f>C6</f>
        <v>0</v>
      </c>
      <c r="IU6" s="23"/>
    </row>
    <row r="7" spans="1:255" x14ac:dyDescent="0.2">
      <c r="A7" s="310"/>
      <c r="B7" s="310"/>
      <c r="C7" s="310"/>
      <c r="D7" s="310"/>
      <c r="E7" s="310"/>
      <c r="F7" s="310"/>
      <c r="G7" s="310"/>
    </row>
    <row r="8" spans="1:255" ht="18.75" x14ac:dyDescent="0.3">
      <c r="A8" s="311" t="s">
        <v>347</v>
      </c>
      <c r="B8" s="311"/>
      <c r="C8" s="311"/>
      <c r="D8" s="311"/>
      <c r="E8" s="311"/>
      <c r="F8" s="311"/>
      <c r="G8" s="311"/>
    </row>
    <row r="9" spans="1:255" x14ac:dyDescent="0.2">
      <c r="A9" s="312" t="s">
        <v>348</v>
      </c>
      <c r="B9" s="312"/>
      <c r="C9" s="312"/>
      <c r="D9" s="312"/>
      <c r="E9" s="312"/>
      <c r="F9" s="312"/>
      <c r="G9" s="312"/>
    </row>
    <row r="10" spans="1:255" x14ac:dyDescent="0.2">
      <c r="A10" s="312"/>
      <c r="B10" s="312"/>
      <c r="C10" s="312"/>
      <c r="D10" s="312"/>
      <c r="E10" s="312"/>
      <c r="F10" s="312"/>
      <c r="G10" s="312"/>
    </row>
    <row r="11" spans="1:255" ht="47.25" x14ac:dyDescent="0.25">
      <c r="A11" s="14" t="s">
        <v>349</v>
      </c>
      <c r="B11" s="313" t="s">
        <v>4</v>
      </c>
      <c r="C11" s="313"/>
      <c r="D11" s="313"/>
      <c r="E11" s="313"/>
      <c r="F11" s="313"/>
      <c r="G11" s="313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14" t="s">
        <v>4</v>
      </c>
      <c r="C12" s="314"/>
      <c r="D12" s="314"/>
      <c r="E12" s="314"/>
      <c r="F12" s="314"/>
      <c r="G12" s="314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01" t="s">
        <v>244</v>
      </c>
      <c r="C13" s="302"/>
      <c r="D13" s="302"/>
      <c r="E13" s="302"/>
      <c r="F13" s="302"/>
      <c r="G13" s="302"/>
      <c r="BT13" s="22">
        <f>C13</f>
        <v>0</v>
      </c>
      <c r="IU13" s="23"/>
    </row>
    <row r="15" spans="1:255" x14ac:dyDescent="0.2">
      <c r="A15" s="14" t="s">
        <v>239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356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72">
        <v>1</v>
      </c>
      <c r="B20" s="172">
        <v>2</v>
      </c>
      <c r="C20" s="172">
        <v>3</v>
      </c>
      <c r="D20" s="172">
        <v>4</v>
      </c>
      <c r="E20" s="172">
        <v>5</v>
      </c>
      <c r="F20" s="172">
        <v>6</v>
      </c>
      <c r="G20" s="172">
        <v>7</v>
      </c>
      <c r="H20" s="172">
        <v>8</v>
      </c>
      <c r="I20" s="173">
        <v>9</v>
      </c>
    </row>
    <row r="22" spans="1:255" x14ac:dyDescent="0.2">
      <c r="C22" t="s">
        <v>369</v>
      </c>
    </row>
    <row r="24" spans="1:255" ht="22.5" x14ac:dyDescent="0.2">
      <c r="A24" s="162" t="s">
        <v>334</v>
      </c>
      <c r="B24" s="162"/>
      <c r="C24" s="174" t="s">
        <v>403</v>
      </c>
      <c r="D24" s="163"/>
      <c r="E24" s="163"/>
      <c r="F24" s="322" t="s">
        <v>7</v>
      </c>
      <c r="G24" s="322"/>
      <c r="BY24" s="164" t="str">
        <f>C24</f>
        <v xml:space="preserve"> Главный инженер сметчик сметно-расчетной службы ООО "ОДСК"</v>
      </c>
      <c r="BZ24" s="164" t="str">
        <f>F24</f>
        <v>Кузнецова У. И.</v>
      </c>
      <c r="IU24" s="23"/>
    </row>
    <row r="25" spans="1:255" s="176" customFormat="1" ht="11.25" x14ac:dyDescent="0.2">
      <c r="A25" s="175"/>
      <c r="B25" s="175"/>
      <c r="C25" s="323" t="s">
        <v>330</v>
      </c>
      <c r="D25" s="323"/>
      <c r="E25" s="323"/>
      <c r="F25" s="323" t="s">
        <v>331</v>
      </c>
      <c r="G25" s="323"/>
    </row>
    <row r="26" spans="1:255" x14ac:dyDescent="0.2">
      <c r="A26" s="18"/>
      <c r="B26" s="18"/>
      <c r="C26" s="18"/>
      <c r="D26" s="11" t="s">
        <v>332</v>
      </c>
      <c r="E26" s="18"/>
      <c r="F26" s="18"/>
      <c r="G26" s="18"/>
    </row>
    <row r="27" spans="1:255" ht="22.5" x14ac:dyDescent="0.2">
      <c r="A27" s="162" t="s">
        <v>335</v>
      </c>
      <c r="B27" s="162"/>
      <c r="C27" s="174" t="s">
        <v>343</v>
      </c>
      <c r="D27" s="163"/>
      <c r="E27" s="163"/>
      <c r="F27" s="322" t="s">
        <v>337</v>
      </c>
      <c r="G27" s="322"/>
      <c r="BY27" s="164" t="str">
        <f>C27</f>
        <v>Руководитель сметно-расчетной службы ООО "ОДСК"</v>
      </c>
      <c r="BZ27" s="164" t="str">
        <f>F27</f>
        <v>Артамонова Ю.А.</v>
      </c>
      <c r="IU27" s="23"/>
    </row>
    <row r="28" spans="1:255" s="176" customFormat="1" ht="11.25" x14ac:dyDescent="0.2">
      <c r="A28" s="175"/>
      <c r="B28" s="175"/>
      <c r="C28" s="323" t="s">
        <v>330</v>
      </c>
      <c r="D28" s="323"/>
      <c r="E28" s="323"/>
      <c r="F28" s="323" t="s">
        <v>331</v>
      </c>
      <c r="G28" s="323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x14ac:dyDescent="0.2">
      <c r="A30" s="162" t="s">
        <v>221</v>
      </c>
      <c r="B30" s="162"/>
      <c r="C30" s="174" t="s">
        <v>344</v>
      </c>
      <c r="D30" s="163"/>
      <c r="E30" s="163"/>
      <c r="F30" s="322" t="s">
        <v>345</v>
      </c>
      <c r="G30" s="322"/>
      <c r="BY30" s="164" t="str">
        <f>C30</f>
        <v>Руководитель ПТО ООО "ОСУ-2"</v>
      </c>
      <c r="BZ30" s="164" t="str">
        <f>F30</f>
        <v>Когтев В. И.</v>
      </c>
      <c r="IU30" s="23"/>
    </row>
    <row r="31" spans="1:255" s="176" customFormat="1" ht="11.25" x14ac:dyDescent="0.2">
      <c r="A31" s="175"/>
      <c r="B31" s="175"/>
      <c r="C31" s="323" t="s">
        <v>330</v>
      </c>
      <c r="D31" s="323"/>
      <c r="E31" s="323"/>
      <c r="F31" s="323" t="s">
        <v>331</v>
      </c>
      <c r="G31" s="323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</sheetData>
  <mergeCells count="21">
    <mergeCell ref="F30:G30"/>
    <mergeCell ref="C31:E31"/>
    <mergeCell ref="F31:G31"/>
    <mergeCell ref="F24:G24"/>
    <mergeCell ref="C25:E25"/>
    <mergeCell ref="F25:G25"/>
    <mergeCell ref="F27:G27"/>
    <mergeCell ref="C28:E28"/>
    <mergeCell ref="F28:G28"/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3"/>
  <sheetViews>
    <sheetView topLeftCell="A39" zoomScaleNormal="100" workbookViewId="0">
      <selection activeCell="K139" sqref="K139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26" t="s">
        <v>212</v>
      </c>
      <c r="I2" s="326"/>
      <c r="J2" s="326"/>
      <c r="K2" s="326"/>
    </row>
    <row r="3" spans="1:255" hidden="1" outlineLevel="1" x14ac:dyDescent="0.2">
      <c r="H3" s="326" t="s">
        <v>213</v>
      </c>
      <c r="I3" s="326"/>
      <c r="J3" s="326"/>
      <c r="K3" s="326"/>
    </row>
    <row r="4" spans="1:255" hidden="1" outlineLevel="1" x14ac:dyDescent="0.2">
      <c r="H4" s="326" t="s">
        <v>214</v>
      </c>
      <c r="I4" s="326"/>
      <c r="J4" s="326"/>
      <c r="K4" s="326"/>
    </row>
    <row r="5" spans="1:255" s="14" customFormat="1" ht="11.25" hidden="1" outlineLevel="1" x14ac:dyDescent="0.2">
      <c r="J5" s="327" t="s">
        <v>215</v>
      </c>
      <c r="K5" s="328"/>
    </row>
    <row r="6" spans="1:255" s="16" customFormat="1" ht="9.75" hidden="1" outlineLevel="1" x14ac:dyDescent="0.2">
      <c r="I6" s="17" t="s">
        <v>216</v>
      </c>
      <c r="J6" s="329" t="s">
        <v>217</v>
      </c>
      <c r="K6" s="330"/>
    </row>
    <row r="7" spans="1:255" hidden="1" outlineLevel="1" x14ac:dyDescent="0.2">
      <c r="A7" s="21" t="s">
        <v>218</v>
      </c>
      <c r="B7" s="19"/>
      <c r="C7" s="304"/>
      <c r="D7" s="305"/>
      <c r="E7" s="305"/>
      <c r="F7" s="305"/>
      <c r="G7" s="305"/>
      <c r="I7" s="17" t="s">
        <v>219</v>
      </c>
      <c r="J7" s="324"/>
      <c r="K7" s="325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06"/>
      <c r="D8" s="307"/>
      <c r="E8" s="307"/>
      <c r="F8" s="307"/>
      <c r="G8" s="307"/>
      <c r="I8" s="17" t="s">
        <v>219</v>
      </c>
      <c r="J8" s="324"/>
      <c r="K8" s="325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06"/>
      <c r="D9" s="307"/>
      <c r="E9" s="307"/>
      <c r="F9" s="307"/>
      <c r="G9" s="307"/>
      <c r="I9" s="17" t="s">
        <v>219</v>
      </c>
      <c r="J9" s="324"/>
      <c r="K9" s="325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06"/>
      <c r="D10" s="307"/>
      <c r="E10" s="307"/>
      <c r="F10" s="307"/>
      <c r="G10" s="307"/>
      <c r="I10" s="17" t="s">
        <v>219</v>
      </c>
      <c r="J10" s="324"/>
      <c r="K10" s="325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31" t="s">
        <v>4</v>
      </c>
      <c r="D11" s="331"/>
      <c r="E11" s="331"/>
      <c r="F11" s="331"/>
      <c r="G11" s="331"/>
      <c r="J11" s="324"/>
      <c r="K11" s="332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31" t="s">
        <v>4</v>
      </c>
      <c r="D12" s="331"/>
      <c r="E12" s="331"/>
      <c r="F12" s="331"/>
      <c r="G12" s="331"/>
      <c r="J12" s="324"/>
      <c r="K12" s="332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33" t="s">
        <v>226</v>
      </c>
      <c r="D13" s="334"/>
      <c r="E13" s="334"/>
      <c r="F13" s="334"/>
      <c r="G13" s="334"/>
      <c r="I13" s="17" t="s">
        <v>227</v>
      </c>
      <c r="J13" s="324"/>
      <c r="K13" s="332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36" t="s">
        <v>228</v>
      </c>
      <c r="H14" s="336"/>
      <c r="I14" s="28" t="s">
        <v>229</v>
      </c>
      <c r="J14" s="337"/>
      <c r="K14" s="338"/>
      <c r="BW14" s="30">
        <f>J14</f>
        <v>0</v>
      </c>
      <c r="IU14" s="23"/>
    </row>
    <row r="15" spans="1:255" hidden="1" outlineLevel="1" x14ac:dyDescent="0.2">
      <c r="I15" s="29" t="s">
        <v>230</v>
      </c>
      <c r="J15" s="339"/>
      <c r="K15" s="340"/>
    </row>
    <row r="16" spans="1:255" s="16" customFormat="1" ht="11.25" hidden="1" outlineLevel="1" x14ac:dyDescent="0.2">
      <c r="I16" s="17" t="s">
        <v>231</v>
      </c>
      <c r="J16" s="341"/>
      <c r="K16" s="342"/>
    </row>
    <row r="17" spans="1:255" hidden="1" outlineLevel="1" x14ac:dyDescent="0.2"/>
    <row r="18" spans="1:255" hidden="1" outlineLevel="1" x14ac:dyDescent="0.2">
      <c r="G18" s="343" t="s">
        <v>232</v>
      </c>
      <c r="H18" s="343" t="s">
        <v>233</v>
      </c>
      <c r="I18" s="345" t="s">
        <v>234</v>
      </c>
      <c r="J18" s="346"/>
    </row>
    <row r="19" spans="1:255" ht="13.5" hidden="1" outlineLevel="1" thickBot="1" x14ac:dyDescent="0.25">
      <c r="G19" s="344"/>
      <c r="H19" s="344"/>
      <c r="I19" s="33" t="s">
        <v>235</v>
      </c>
      <c r="J19" s="34" t="s">
        <v>236</v>
      </c>
    </row>
    <row r="20" spans="1:255" ht="19.5" hidden="1" outlineLevel="1" thickBot="1" x14ac:dyDescent="0.35">
      <c r="C20" s="311" t="s">
        <v>237</v>
      </c>
      <c r="D20" s="311"/>
      <c r="E20" s="311"/>
      <c r="F20" s="311"/>
      <c r="G20" s="36"/>
      <c r="H20" s="37"/>
      <c r="I20" s="38"/>
      <c r="J20" s="39"/>
      <c r="K20" s="40"/>
    </row>
    <row r="21" spans="1:255" ht="15.75" hidden="1" outlineLevel="1" x14ac:dyDescent="0.25">
      <c r="C21" s="347" t="s">
        <v>238</v>
      </c>
      <c r="D21" s="347"/>
      <c r="E21" s="347"/>
      <c r="F21" s="347"/>
    </row>
    <row r="22" spans="1:255" hidden="1" outlineLevel="1" x14ac:dyDescent="0.2">
      <c r="C22" s="312"/>
      <c r="D22" s="310"/>
      <c r="E22" s="310"/>
      <c r="F22" s="310"/>
    </row>
    <row r="23" spans="1:255" hidden="1" outlineLevel="1" x14ac:dyDescent="0.2">
      <c r="C23" s="348" t="s">
        <v>15</v>
      </c>
      <c r="D23" s="349"/>
      <c r="E23" s="349"/>
      <c r="F23" s="349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50">
        <f>K140/1000</f>
        <v>297.327</v>
      </c>
      <c r="F26" s="350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35" t="s">
        <v>4</v>
      </c>
      <c r="D29" s="335"/>
      <c r="E29" s="335"/>
      <c r="F29" s="335"/>
      <c r="G29" s="335"/>
      <c r="H29" s="335"/>
      <c r="I29" s="335"/>
      <c r="J29" s="335"/>
      <c r="K29" s="335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35" t="s">
        <v>4</v>
      </c>
      <c r="D30" s="335"/>
      <c r="E30" s="335"/>
      <c r="F30" s="335"/>
      <c r="G30" s="335"/>
      <c r="H30" s="335"/>
      <c r="I30" s="335"/>
      <c r="J30" s="335"/>
      <c r="K30" s="335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355" t="s">
        <v>244</v>
      </c>
      <c r="D31" s="335"/>
      <c r="E31" s="335"/>
      <c r="F31" s="335"/>
      <c r="G31" s="335"/>
      <c r="H31" s="335"/>
      <c r="I31" s="335"/>
      <c r="J31" s="335"/>
      <c r="K31" s="335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11" t="s">
        <v>245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1"/>
    </row>
    <row r="34" spans="1:255" outlineLevel="1" x14ac:dyDescent="0.2">
      <c r="A34" s="356" t="s">
        <v>15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35" t="s">
        <v>402</v>
      </c>
      <c r="D35" s="335"/>
      <c r="E35" s="335"/>
      <c r="F35" s="335"/>
      <c r="G35" s="335"/>
      <c r="H35" s="335"/>
      <c r="I35" s="335"/>
      <c r="J35" s="335"/>
      <c r="K35" s="335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51" t="s">
        <v>255</v>
      </c>
      <c r="B42" s="353" t="s">
        <v>256</v>
      </c>
      <c r="C42" s="353" t="s">
        <v>257</v>
      </c>
      <c r="D42" s="353" t="s">
        <v>258</v>
      </c>
      <c r="E42" s="353" t="s">
        <v>259</v>
      </c>
      <c r="F42" s="353" t="s">
        <v>260</v>
      </c>
      <c r="G42" s="353" t="s">
        <v>261</v>
      </c>
      <c r="H42" s="353" t="s">
        <v>262</v>
      </c>
      <c r="I42" s="353" t="s">
        <v>263</v>
      </c>
      <c r="J42" s="353" t="s">
        <v>264</v>
      </c>
      <c r="K42" s="360" t="s">
        <v>265</v>
      </c>
    </row>
    <row r="43" spans="1:255" x14ac:dyDescent="0.2">
      <c r="A43" s="352"/>
      <c r="B43" s="354"/>
      <c r="C43" s="354"/>
      <c r="D43" s="354"/>
      <c r="E43" s="354"/>
      <c r="F43" s="354"/>
      <c r="G43" s="354"/>
      <c r="H43" s="354"/>
      <c r="I43" s="354"/>
      <c r="J43" s="354"/>
      <c r="K43" s="361"/>
    </row>
    <row r="44" spans="1:255" x14ac:dyDescent="0.2">
      <c r="A44" s="352"/>
      <c r="B44" s="354"/>
      <c r="C44" s="354"/>
      <c r="D44" s="354"/>
      <c r="E44" s="354"/>
      <c r="F44" s="354"/>
      <c r="G44" s="354"/>
      <c r="H44" s="354"/>
      <c r="I44" s="354"/>
      <c r="J44" s="354"/>
      <c r="K44" s="361"/>
    </row>
    <row r="45" spans="1:255" ht="13.5" thickBot="1" x14ac:dyDescent="0.25">
      <c r="A45" s="352"/>
      <c r="B45" s="354"/>
      <c r="C45" s="354"/>
      <c r="D45" s="354"/>
      <c r="E45" s="354"/>
      <c r="F45" s="354"/>
      <c r="G45" s="354"/>
      <c r="H45" s="354"/>
      <c r="I45" s="354"/>
      <c r="J45" s="354"/>
      <c r="K45" s="361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362" t="s">
        <v>16</v>
      </c>
      <c r="D48" s="362"/>
      <c r="E48" s="362"/>
      <c r="F48" s="362"/>
      <c r="G48" s="362"/>
      <c r="H48" s="362"/>
      <c r="I48" s="362"/>
      <c r="J48" s="362"/>
      <c r="K48" s="362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357">
        <f>R56</f>
        <v>11777</v>
      </c>
      <c r="I56" s="358"/>
      <c r="J56" s="357">
        <f>S56</f>
        <v>92547</v>
      </c>
      <c r="K56" s="359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363"/>
      <c r="I57" s="364"/>
      <c r="J57" s="363"/>
      <c r="K57" s="365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357">
        <f>R61</f>
        <v>16406</v>
      </c>
      <c r="I61" s="358"/>
      <c r="J61" s="357">
        <f>S61</f>
        <v>116807</v>
      </c>
      <c r="K61" s="359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363"/>
      <c r="I62" s="364"/>
      <c r="J62" s="363"/>
      <c r="K62" s="365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357">
        <f>R70</f>
        <v>1635</v>
      </c>
      <c r="I70" s="358"/>
      <c r="J70" s="357">
        <f>S70</f>
        <v>17065</v>
      </c>
      <c r="K70" s="359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363"/>
      <c r="I71" s="364"/>
      <c r="J71" s="363"/>
      <c r="K71" s="365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357">
        <f>R78</f>
        <v>4719</v>
      </c>
      <c r="I78" s="358"/>
      <c r="J78" s="357">
        <f>S78</f>
        <v>113690</v>
      </c>
      <c r="K78" s="359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363"/>
      <c r="I79" s="364"/>
      <c r="J79" s="363"/>
      <c r="K79" s="365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1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1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1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1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1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1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1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1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1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1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</row>
    <row r="108" spans="3:11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1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1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1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1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1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1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1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1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1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1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1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1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1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1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1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1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</row>
    <row r="126" spans="1:11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</row>
    <row r="128" spans="1:11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'1.Лок.смета.и.Акт'!K128</f>
        <v>297326.55000000005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'1.Лок.смета.и.Акт'!K138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22"/>
      <c r="D145" s="322"/>
      <c r="E145" s="322"/>
      <c r="F145" s="322"/>
      <c r="G145" s="163"/>
      <c r="H145" s="163"/>
      <c r="I145" s="322"/>
      <c r="J145" s="322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366" t="s">
        <v>330</v>
      </c>
      <c r="D146" s="366"/>
      <c r="E146" s="366"/>
      <c r="F146" s="366"/>
      <c r="G146" s="366"/>
      <c r="H146" s="366"/>
      <c r="I146" s="366" t="s">
        <v>331</v>
      </c>
      <c r="J146" s="366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22"/>
      <c r="D148" s="322"/>
      <c r="E148" s="322"/>
      <c r="F148" s="322"/>
      <c r="G148" s="163"/>
      <c r="H148" s="163"/>
      <c r="I148" s="322"/>
      <c r="J148" s="322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366" t="s">
        <v>330</v>
      </c>
      <c r="D149" s="366"/>
      <c r="E149" s="366"/>
      <c r="F149" s="366"/>
      <c r="G149" s="366"/>
      <c r="H149" s="366"/>
      <c r="I149" s="366" t="s">
        <v>331</v>
      </c>
      <c r="J149" s="366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22" t="s">
        <v>403</v>
      </c>
      <c r="D154" s="322"/>
      <c r="E154" s="322"/>
      <c r="F154" s="322"/>
      <c r="G154" s="163"/>
      <c r="H154" s="163"/>
      <c r="I154" s="322" t="s">
        <v>7</v>
      </c>
      <c r="J154" s="322"/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366" t="s">
        <v>330</v>
      </c>
      <c r="D155" s="366"/>
      <c r="E155" s="366"/>
      <c r="F155" s="366"/>
      <c r="G155" s="366"/>
      <c r="H155" s="366"/>
      <c r="I155" s="366" t="s">
        <v>331</v>
      </c>
      <c r="J155" s="366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22" t="s">
        <v>343</v>
      </c>
      <c r="D157" s="322"/>
      <c r="E157" s="322"/>
      <c r="F157" s="322"/>
      <c r="G157" s="163"/>
      <c r="H157" s="163"/>
      <c r="I157" s="322" t="s">
        <v>337</v>
      </c>
      <c r="J157" s="322"/>
      <c r="BY157" s="164" t="str">
        <f>C157</f>
        <v>Руководитель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366" t="s">
        <v>330</v>
      </c>
      <c r="D158" s="366"/>
      <c r="E158" s="366"/>
      <c r="F158" s="366"/>
      <c r="G158" s="366"/>
      <c r="H158" s="366"/>
      <c r="I158" s="366" t="s">
        <v>331</v>
      </c>
      <c r="J158" s="366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22" t="s">
        <v>344</v>
      </c>
      <c r="D160" s="322"/>
      <c r="E160" s="322"/>
      <c r="F160" s="322"/>
      <c r="G160" s="163"/>
      <c r="H160" s="163"/>
      <c r="I160" s="322" t="s">
        <v>345</v>
      </c>
      <c r="J160" s="322"/>
      <c r="BY160" s="164" t="str">
        <f>C160</f>
        <v>Руководитель ПТО ООО "ОСУ-2"</v>
      </c>
      <c r="BZ160" s="164" t="str">
        <f>I160</f>
        <v>Когтев В. И.</v>
      </c>
      <c r="IU160" s="23"/>
    </row>
    <row r="161" spans="1:10" s="166" customFormat="1" ht="11.25" hidden="1" outlineLevel="1" x14ac:dyDescent="0.2">
      <c r="A161" s="165"/>
      <c r="B161" s="165"/>
      <c r="C161" s="366" t="s">
        <v>330</v>
      </c>
      <c r="D161" s="366"/>
      <c r="E161" s="366"/>
      <c r="F161" s="366"/>
      <c r="G161" s="366"/>
      <c r="H161" s="366"/>
      <c r="I161" s="366" t="s">
        <v>331</v>
      </c>
      <c r="J161" s="366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</sheetData>
  <mergeCells count="85">
    <mergeCell ref="C158:H158"/>
    <mergeCell ref="I158:J158"/>
    <mergeCell ref="C160:F160"/>
    <mergeCell ref="I160:J160"/>
    <mergeCell ref="C161:H161"/>
    <mergeCell ref="I161:J161"/>
    <mergeCell ref="C154:F154"/>
    <mergeCell ref="I154:J154"/>
    <mergeCell ref="C155:H155"/>
    <mergeCell ref="I155:J155"/>
    <mergeCell ref="C157:F157"/>
    <mergeCell ref="I157:J157"/>
    <mergeCell ref="C146:H146"/>
    <mergeCell ref="I146:J146"/>
    <mergeCell ref="C148:F148"/>
    <mergeCell ref="I148:J148"/>
    <mergeCell ref="C149:H149"/>
    <mergeCell ref="I149:J149"/>
    <mergeCell ref="H78:I78"/>
    <mergeCell ref="J78:K78"/>
    <mergeCell ref="H79:I79"/>
    <mergeCell ref="J79:K79"/>
    <mergeCell ref="C145:F145"/>
    <mergeCell ref="I145:J145"/>
    <mergeCell ref="H62:I62"/>
    <mergeCell ref="J62:K62"/>
    <mergeCell ref="H70:I70"/>
    <mergeCell ref="J70:K70"/>
    <mergeCell ref="H71:I71"/>
    <mergeCell ref="J71:K71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SUM('2.Лок.смета.и.Акт в ЕР'!AS47:'2.Лок.смета.и.Акт в ЕР'!AS79)</f>
        <v>0</v>
      </c>
      <c r="AZ14">
        <f>SUM('2.Лок.смета.и.Акт в ЕР'!AT47:'2.Лок.смета.и.Акт в ЕР'!AT79)</f>
        <v>0</v>
      </c>
      <c r="BA14">
        <f>SUM('2.Лок.смета.и.Акт в ЕР'!AU47:'2.Лок.смета.и.Акт в ЕР'!AU79)</f>
        <v>0</v>
      </c>
      <c r="BB14">
        <f>SUM('2.Лок.смета.и.Акт в ЕР'!AV47:'2.Лок.смета.и.Акт в ЕР'!AV79)</f>
        <v>0</v>
      </c>
      <c r="BC14">
        <f>SUM('2.Лок.смета.и.Акт в ЕР'!AW47:'2.Лок.смета.и.Акт в ЕР'!AW79)</f>
        <v>0</v>
      </c>
      <c r="BD14">
        <f>SUM('2.Лок.смета.и.Акт в ЕР'!AX47:'2.Лок.смета.и.Акт в ЕР'!AX79)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SUM('2.Лок.смета.и.Акт в ЕР'!GJ47:'2.Лок.смета.и.Акт в ЕР'!GJ79)</f>
        <v>29890</v>
      </c>
      <c r="EW14">
        <f>SUM('2.Лок.смета.и.Акт в ЕР'!GK47:'2.Лок.смета.и.Акт в ЕР'!GK79)</f>
        <v>2189</v>
      </c>
      <c r="EX14">
        <f>SUM('2.Лок.смета.и.Акт в ЕР'!GL47:'2.Лок.смета.и.Акт в ЕР'!GL79)</f>
        <v>27701</v>
      </c>
      <c r="EY14">
        <f>SUM('2.Лок.смета.и.Акт в ЕР'!GM47:'2.Лок.смета.и.Акт в ЕР'!GM79)</f>
        <v>1304</v>
      </c>
      <c r="EZ14">
        <f>SUM('2.Лок.смета.и.Акт в ЕР'!GN47:'2.Лок.смета.и.Акт в ЕР'!GN79)</f>
        <v>0</v>
      </c>
      <c r="FA14">
        <f>SUM('2.Лок.смета.и.Акт в ЕР'!GO47:'2.Лок.смета.и.Акт в ЕР'!GO79)</f>
        <v>0</v>
      </c>
      <c r="FB14">
        <f>SUM('2.Лок.смета.и.Акт в ЕР'!GP47:'2.Лок.смета.и.Акт в ЕР'!GP79)</f>
        <v>0</v>
      </c>
      <c r="FC14">
        <f>SUM('2.Лок.смета.и.Акт в ЕР'!GQ47:'2.Лок.смета.и.Акт в ЕР'!GQ79)</f>
        <v>0</v>
      </c>
      <c r="FD14">
        <f>SUM('2.Лок.смета.и.Акт в ЕР'!GR47:'2.Лок.смета.и.Акт в ЕР'!GR79)</f>
        <v>0</v>
      </c>
      <c r="FE14">
        <f>SUM('2.Лок.смета.и.Акт в ЕР'!GS47:'2.Лок.смета.и.Акт в ЕР'!GS79)</f>
        <v>0</v>
      </c>
      <c r="FF14">
        <f>SUM('2.Лок.смета.и.Акт в ЕР'!GT47:'2.Лок.смета.и.Акт в ЕР'!GT79)</f>
        <v>0</v>
      </c>
      <c r="FG14">
        <f>SUM('2.Лок.смета.и.Акт в ЕР'!GU47:'2.Лок.смета.и.Акт в ЕР'!GU79)</f>
        <v>0</v>
      </c>
      <c r="FH14">
        <f>SUM('2.Лок.смета.и.Акт в ЕР'!GV47:'2.Лок.смета.и.Акт в ЕР'!GV79)</f>
        <v>0</v>
      </c>
      <c r="FI14">
        <f>SUM('2.Лок.смета.и.Акт в ЕР'!GW47:'2.Лок.смета.и.Акт в ЕР'!GW79)</f>
        <v>0</v>
      </c>
      <c r="FJ14">
        <f>SUM('2.Лок.смета.и.Акт в ЕР'!GX47:'2.Лок.смета.и.Акт в ЕР'!GX79)</f>
        <v>0</v>
      </c>
      <c r="FK14">
        <f>SUM('2.Лок.смета.и.Акт в ЕР'!GY47:'2.Лок.смета.и.Акт в ЕР'!GY79)</f>
        <v>3004</v>
      </c>
      <c r="FL14">
        <f>SUM('2.Лок.смета.и.Акт в ЕР'!GZ47:'2.Лок.смета.и.Акт в ЕР'!GZ79)</f>
        <v>1643</v>
      </c>
      <c r="FM14">
        <f>SUM('2.Лок.смета.и.Акт в ЕР'!HA47:'2.Лок.смета.и.Акт в ЕР'!HA79)</f>
        <v>34537</v>
      </c>
      <c r="FN14">
        <f>SUM('2.Лок.смета.и.Акт в ЕР'!HB47:'2.Лок.смета.и.Акт в ЕР'!HB79)</f>
        <v>34537</v>
      </c>
      <c r="FO14">
        <f>SUM('2.Лок.смета.и.Акт в ЕР'!HC47:'2.Лок.смета.и.Акт в ЕР'!HC79)</f>
        <v>0</v>
      </c>
      <c r="FP14">
        <f>SUM('2.Лок.смета.и.Акт в ЕР'!HD47:'2.Лок.смета.и.Акт в ЕР'!HD79)</f>
        <v>0</v>
      </c>
      <c r="FQ14">
        <f>SUM('2.Лок.смета.и.Акт в ЕР'!HE47:'2.Лок.смета.и.Акт в ЕР'!HE79)</f>
        <v>0</v>
      </c>
      <c r="FR14">
        <f>'2.Лок.смета.и.Акт в ЕР'!FN80+'2.Лок.смета.и.Акт в ЕР'!FO80</f>
        <v>34537</v>
      </c>
      <c r="FS14">
        <f>SUM('2.Лок.смета.и.Акт в ЕР'!HG47:'2.Лок.смета.и.Акт в ЕР'!HG79)</f>
        <v>0</v>
      </c>
      <c r="FT14">
        <f>SUM('2.Лок.смета.и.Акт в ЕР'!HH47:'2.Лок.смета.и.Акт в ЕР'!HH79)</f>
        <v>0</v>
      </c>
      <c r="FU14">
        <f>SUM('2.Лок.смета.и.Акт в ЕР'!HI47:'2.Лок.смета.и.Акт в ЕР'!HI79)</f>
        <v>0</v>
      </c>
      <c r="FV14">
        <f>SUM('2.Лок.смета.и.Акт в ЕР'!HJ47:'2.Лок.смета.и.Акт в ЕР'!HJ79)</f>
        <v>0</v>
      </c>
      <c r="FW14">
        <f>SUM('2.Лок.смета.и.Акт в ЕР'!HK47:'2.Лок.смета.и.Акт в ЕР'!HK79)</f>
        <v>16406</v>
      </c>
      <c r="FX14">
        <f>SUMIF('2.Лок.смета.и.Акт в ЕР'!CV47:'2.Лок.смета.и.Акт в ЕР'!CV79,1,'2.Лок.смета.и.Акт в ЕР'!GK47:'2.Лок.смета.и.Акт в ЕР'!GK79)</f>
        <v>2189</v>
      </c>
      <c r="FY14">
        <f>SUMIF('2.Лок.смета.и.Акт в ЕР'!CV47:'2.Лок.смета.и.Акт в ЕР'!CV79,2,'2.Лок.смета.и.Акт в ЕР'!GK47:'2.Лок.смета.и.Акт в ЕР'!GK79)</f>
        <v>0</v>
      </c>
      <c r="FZ14">
        <f>SUMIF('2.Лок.смета.и.Акт в ЕР'!CV47:'2.Лок.смета.и.Акт в ЕР'!CV79,5,'2.Лок.смета.и.Акт в ЕР'!GK47:'2.Лок.смета.и.Акт в ЕР'!GK79)</f>
        <v>0</v>
      </c>
      <c r="GA14">
        <f>SUMIF('2.Лок.смета.и.Акт в ЕР'!CV47:'2.Лок.смета.и.Акт в ЕР'!CV79,4,'2.Лок.смета.и.Акт в ЕР'!GK47:'2.Лок.смета.и.Акт в ЕР'!GK79)</f>
        <v>0</v>
      </c>
      <c r="GB14">
        <f>SUMIF('2.Лок.смета.и.Акт в ЕР'!CV47:'2.Лок.смета.и.Акт в ЕР'!CV79,1,'2.Лок.смета.и.Акт в ЕР'!GL47:'2.Лок.смета.и.Акт в ЕР'!GL79)</f>
        <v>27701</v>
      </c>
      <c r="GC14">
        <f>SUMIF('2.Лок.смета.и.Акт в ЕР'!CV47:'2.Лок.смета.и.Акт в ЕР'!CV79,2,'2.Лок.смета.и.Акт в ЕР'!GL47:'2.Лок.смета.и.Акт в ЕР'!GL79)</f>
        <v>0</v>
      </c>
      <c r="GD14">
        <f>SUMIF('2.Лок.смета.и.Акт в ЕР'!CV47:'2.Лок.смета.и.Акт в ЕР'!CV79,4,'2.Лок.смета.и.Акт в ЕР'!GL47:'2.Лок.смета.и.Акт в ЕР'!GL79)</f>
        <v>0</v>
      </c>
      <c r="GE14">
        <f>SUMIF('2.Лок.смета.и.Акт в ЕР'!CV47:'2.Лок.смета.и.Акт в ЕР'!CV79,1,'2.Лок.смета.и.Акт в ЕР'!GQ47:'2.Лок.смета.и.Акт в ЕР'!GQ79)</f>
        <v>0</v>
      </c>
      <c r="GF14">
        <f>SUMIF('2.Лок.смета.и.Акт в ЕР'!CV47:'2.Лок.смета.и.Акт в ЕР'!CV79,2,'2.Лок.смета.и.Акт в ЕР'!GQ47:'2.Лок.смета.и.Акт в ЕР'!GQ79)</f>
        <v>0</v>
      </c>
      <c r="GG14">
        <f>SUMIF('2.Лок.смета.и.Акт в ЕР'!CV47:'2.Лок.смета.и.Акт в ЕР'!CV79,4,'2.Лок.смета.и.Акт в ЕР'!GQ47:'2.Лок.смета.и.Акт в ЕР'!GQ79)</f>
        <v>0</v>
      </c>
      <c r="IB14">
        <f>SUM('2.Лок.смета.и.Акт в ЕР'!HO47:'2.Лок.смета.и.Акт в ЕР'!HO79)</f>
        <v>16406</v>
      </c>
      <c r="IC14">
        <f>SUM('2.Лок.смета.и.Акт в ЕР'!HQ47:'2.Лок.смета.и.Акт в ЕР'!HQ79)</f>
        <v>0</v>
      </c>
      <c r="ID14">
        <f>SUM('2.Лок.смета.и.Акт в ЕР'!HS47:'2.Лок.смета.и.Акт в ЕР'!HS79)</f>
        <v>0</v>
      </c>
      <c r="IE14">
        <f>SUM('2.Лок.смета.и.Акт в ЕР'!HU47:'2.Лок.смета.и.Акт в ЕР'!HU79)</f>
        <v>0</v>
      </c>
      <c r="IF14">
        <f>SUM('2.Лок.смета.и.Акт в ЕР'!HY47:'2.Лок.смета.и.Акт в ЕР'!HY79)</f>
        <v>0</v>
      </c>
      <c r="IG14">
        <f>SUM('2.Лок.смета.и.Акт в ЕР'!HZ47:'2.Лок.смета.и.Акт в ЕР'!HZ79)</f>
        <v>0</v>
      </c>
      <c r="IH14">
        <f>SUM('2.Лок.смета.и.Акт в ЕР'!HL47:'2.Лок.смета.и.Акт в ЕР'!HL79)</f>
        <v>18131</v>
      </c>
      <c r="II14">
        <f>SUM('2.Лок.смета.и.Акт в ЕР'!HN47:'2.Лок.смета.и.Акт в ЕР'!HN79)</f>
        <v>18131</v>
      </c>
      <c r="IJ14">
        <f>SUM('2.Лок.смета.и.Акт в ЕР'!HP47:'2.Лок.смета.и.Акт в ЕР'!HP79)</f>
        <v>0</v>
      </c>
      <c r="IK14">
        <f>SUM('2.Лок.смета.и.Акт в ЕР'!HR47:'2.Лок.смета.и.Акт в ЕР'!HR79)</f>
        <v>0</v>
      </c>
      <c r="IL14">
        <f>SUM('2.Лок.смета.и.Акт в ЕР'!HT47:'2.Лок.смета.и.Акт в ЕР'!HT79)</f>
        <v>0</v>
      </c>
      <c r="IM14">
        <f>SUM('2.Лок.смета.и.Акт в ЕР'!HW47:'2.Лок.смета.и.Акт в ЕР'!HW79)</f>
        <v>0</v>
      </c>
      <c r="IN14">
        <f>SUMIF('2.Лок.смета.и.Акт в ЕР'!CV47:'2.Лок.смета.и.Акт в ЕР'!CV79,1,'2.Лок.смета.и.Акт в ЕР'!GY47:'2.Лок.смета.и.Акт в ЕР'!GY79)</f>
        <v>3004</v>
      </c>
      <c r="IO14">
        <f>SUMIF('2.Лок.смета.и.Акт в ЕР'!CV47:'2.Лок.смета.и.Акт в ЕР'!CV79,2,'2.Лок.смета.и.Акт в ЕР'!GY47:'2.Лок.смета.и.Акт в ЕР'!GY79)</f>
        <v>0</v>
      </c>
      <c r="IP14">
        <f>SUMIF('2.Лок.смета.и.Акт в ЕР'!CV47:'2.Лок.смета.и.Акт в ЕР'!CV79,5,'2.Лок.смета.и.Акт в ЕР'!GY47:'2.Лок.смета.и.Акт в ЕР'!GY79)</f>
        <v>0</v>
      </c>
      <c r="IQ14">
        <f>SUMIF('2.Лок.смета.и.Акт в ЕР'!CV47:'2.Лок.смета.и.Акт в ЕР'!CV79,4,'2.Лок.смета.и.Акт в ЕР'!GY47:'2.Лок.смета.и.Акт в ЕР'!GY79)</f>
        <v>0</v>
      </c>
      <c r="IR14">
        <f>SUMIF('2.Лок.смета.и.Акт в ЕР'!CV47:'2.Лок.смета.и.Акт в ЕР'!CV79,1,'2.Лок.смета.и.Акт в ЕР'!GZ47:'2.Лок.смета.и.Акт в ЕР'!GZ79)</f>
        <v>1643</v>
      </c>
      <c r="IS14">
        <f>SUMIF('2.Лок.смета.и.Акт в ЕР'!CV47:'2.Лок.смета.и.Акт в ЕР'!CV79,2,'2.Лок.смета.и.Акт в ЕР'!GZ47:'2.Лок.смета.и.Акт в ЕР'!GZ79)</f>
        <v>0</v>
      </c>
      <c r="IT14">
        <f>SUMIF('2.Лок.смета.и.Акт в ЕР'!CV47:'2.Лок.смета.и.Акт в ЕР'!CV79,5,'2.Лок.смета.и.Акт в ЕР'!GZ47:'2.Лок.смета.и.Акт в ЕР'!GZ79)</f>
        <v>0</v>
      </c>
      <c r="IU14">
        <f>SUMIF('2.Лок.смета.и.Акт в ЕР'!CV47:'2.Лок.смета.и.Акт в ЕР'!CV79,4,'2.Лок.смета.и.Акт в ЕР'!GZ47:'2.Лок.смета.и.Акт в ЕР'!GZ79)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SUMIF('2.Лок.смета.и.Акт в ЕР'!CV47:'2.Лок.смета.и.Акт в ЕР'!CV79,1,'2.Лок.смета.и.Акт в ЕР'!AV47:'2.Лок.смета.и.Акт в ЕР'!AV79)</f>
        <v>0</v>
      </c>
      <c r="BF80">
        <f>SUMIF('2.Лок.смета.и.Акт в ЕР'!CV47:'2.Лок.смета.и.Акт в ЕР'!CV79,2,'2.Лок.смета.и.Акт в ЕР'!AV47:'2.Лок.смета.и.Акт в ЕР'!AV79)</f>
        <v>0</v>
      </c>
      <c r="BG80">
        <f>SUMIF('2.Лок.смета.и.Акт в ЕР'!CV47:'2.Лок.смета.и.Акт в ЕР'!CV79,5,'2.Лок.смета.и.Акт в ЕР'!AV47:'2.Лок.смета.и.Акт в ЕР'!AV79)</f>
        <v>0</v>
      </c>
      <c r="BH80">
        <f>SUMIF('2.Лок.смета.и.Акт в ЕР'!CV47:'2.Лок.смета.и.Акт в ЕР'!CV79,4,'2.Лок.смета.и.Акт в ЕР'!AV47:'2.Лок.смета.и.Акт в ЕР'!AV79)</f>
        <v>0</v>
      </c>
      <c r="BI80">
        <f>SUMIF('2.Лок.смета.и.Акт в ЕР'!CV47:'2.Лок.смета.и.Акт в ЕР'!CV79,1,'2.Лок.смета.и.Акт в ЕР'!AW47:'2.Лок.смета.и.Акт в ЕР'!AW79)</f>
        <v>0</v>
      </c>
      <c r="BJ80">
        <f>SUMIF('2.Лок.смета.и.Акт в ЕР'!CV47:'2.Лок.смета.и.Акт в ЕР'!CV79,2,'2.Лок.смета.и.Акт в ЕР'!AW47:'2.Лок.смета.и.Акт в ЕР'!AW79)</f>
        <v>0</v>
      </c>
      <c r="BK80">
        <f>SUMIF('2.Лок.смета.и.Акт в ЕР'!CV47:'2.Лок.смета.и.Акт в ЕР'!CV79,5,'2.Лок.смета.и.Акт в ЕР'!AW47:'2.Лок.смета.и.Акт в ЕР'!AW79)</f>
        <v>0</v>
      </c>
      <c r="BL80">
        <f>SUMIF('2.Лок.смета.и.Акт в ЕР'!CV47:'2.Лок.смета.и.Акт в ЕР'!CV79,4,'2.Лок.смета.и.Акт в ЕР'!AW47:'2.Лок.смета.и.Акт в ЕР'!AW79)</f>
        <v>0</v>
      </c>
      <c r="BM80">
        <f>SUMIF('2.Лок.смета.и.Акт в ЕР'!CV47:'2.Лок.смета.и.Акт в ЕР'!CV79,1,'2.Лок.смета.и.Акт в ЕР'!AX47:'2.Лок.смета.и.Акт в ЕР'!AX79)</f>
        <v>0</v>
      </c>
      <c r="BN80">
        <f>SUMIF('2.Лок.смета.и.Акт в ЕР'!CV47:'2.Лок.смета.и.Акт в ЕР'!CV79,2,'2.Лок.смета.и.Акт в ЕР'!AX47:'2.Лок.смета.и.Акт в ЕР'!AX79)</f>
        <v>0</v>
      </c>
      <c r="BO80">
        <f>SUMIF('2.Лок.смета.и.Акт в ЕР'!CV47:'2.Лок.смета.и.Акт в ЕР'!CV79,5,'2.Лок.смета.и.Акт в ЕР'!AX47:'2.Лок.смета.и.Акт в ЕР'!AX79)</f>
        <v>0</v>
      </c>
      <c r="BP80">
        <f>SUMIF('2.Лок.смета.и.Акт в ЕР'!CV47:'2.Лок.смета.и.Акт в ЕР'!CV79,4,'2.Лок.смета.и.Акт в ЕР'!AX47:'2.Лок.смета.и.Акт в ЕР'!AX79)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4"/>
  <sheetViews>
    <sheetView zoomScaleNormal="100" workbookViewId="0">
      <selection activeCell="C31" sqref="C31:K31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26" t="s">
        <v>212</v>
      </c>
      <c r="I2" s="326"/>
      <c r="J2" s="326"/>
      <c r="K2" s="326"/>
    </row>
    <row r="3" spans="1:255" hidden="1" outlineLevel="1" x14ac:dyDescent="0.2">
      <c r="H3" s="326" t="s">
        <v>213</v>
      </c>
      <c r="I3" s="326"/>
      <c r="J3" s="326"/>
      <c r="K3" s="326"/>
    </row>
    <row r="4" spans="1:255" hidden="1" outlineLevel="1" x14ac:dyDescent="0.2">
      <c r="H4" s="326" t="s">
        <v>214</v>
      </c>
      <c r="I4" s="326"/>
      <c r="J4" s="326"/>
      <c r="K4" s="326"/>
    </row>
    <row r="5" spans="1:255" s="14" customFormat="1" ht="11.25" hidden="1" outlineLevel="1" x14ac:dyDescent="0.2">
      <c r="J5" s="327" t="s">
        <v>215</v>
      </c>
      <c r="K5" s="328"/>
    </row>
    <row r="6" spans="1:255" s="16" customFormat="1" ht="9.75" hidden="1" outlineLevel="1" x14ac:dyDescent="0.2">
      <c r="I6" s="17" t="s">
        <v>216</v>
      </c>
      <c r="J6" s="329" t="s">
        <v>217</v>
      </c>
      <c r="K6" s="330"/>
    </row>
    <row r="7" spans="1:255" hidden="1" outlineLevel="1" x14ac:dyDescent="0.2">
      <c r="A7" s="21" t="s">
        <v>218</v>
      </c>
      <c r="B7" s="19"/>
      <c r="C7" s="304"/>
      <c r="D7" s="305"/>
      <c r="E7" s="305"/>
      <c r="F7" s="305"/>
      <c r="G7" s="305"/>
      <c r="I7" s="17" t="s">
        <v>219</v>
      </c>
      <c r="J7" s="324"/>
      <c r="K7" s="325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06"/>
      <c r="D8" s="307"/>
      <c r="E8" s="307"/>
      <c r="F8" s="307"/>
      <c r="G8" s="307"/>
      <c r="I8" s="17" t="s">
        <v>219</v>
      </c>
      <c r="J8" s="324"/>
      <c r="K8" s="325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06"/>
      <c r="D9" s="307"/>
      <c r="E9" s="307"/>
      <c r="F9" s="307"/>
      <c r="G9" s="307"/>
      <c r="I9" s="17" t="s">
        <v>219</v>
      </c>
      <c r="J9" s="324"/>
      <c r="K9" s="325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06"/>
      <c r="D10" s="307"/>
      <c r="E10" s="307"/>
      <c r="F10" s="307"/>
      <c r="G10" s="307"/>
      <c r="I10" s="17" t="s">
        <v>219</v>
      </c>
      <c r="J10" s="324"/>
      <c r="K10" s="325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31" t="s">
        <v>4</v>
      </c>
      <c r="D11" s="331"/>
      <c r="E11" s="331"/>
      <c r="F11" s="331"/>
      <c r="G11" s="331"/>
      <c r="J11" s="324"/>
      <c r="K11" s="332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31" t="s">
        <v>4</v>
      </c>
      <c r="D12" s="331"/>
      <c r="E12" s="331"/>
      <c r="F12" s="331"/>
      <c r="G12" s="331"/>
      <c r="J12" s="324"/>
      <c r="K12" s="332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33" t="s">
        <v>226</v>
      </c>
      <c r="D13" s="334"/>
      <c r="E13" s="334"/>
      <c r="F13" s="334"/>
      <c r="G13" s="334"/>
      <c r="I13" s="17" t="s">
        <v>227</v>
      </c>
      <c r="J13" s="324"/>
      <c r="K13" s="332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36" t="s">
        <v>228</v>
      </c>
      <c r="H14" s="336"/>
      <c r="I14" s="28" t="s">
        <v>229</v>
      </c>
      <c r="J14" s="337"/>
      <c r="K14" s="338"/>
      <c r="BW14" s="30">
        <f>J14</f>
        <v>0</v>
      </c>
      <c r="IU14" s="23"/>
    </row>
    <row r="15" spans="1:255" hidden="1" outlineLevel="1" x14ac:dyDescent="0.2">
      <c r="I15" s="29" t="s">
        <v>230</v>
      </c>
      <c r="J15" s="339"/>
      <c r="K15" s="340"/>
    </row>
    <row r="16" spans="1:255" s="16" customFormat="1" ht="11.25" hidden="1" outlineLevel="1" x14ac:dyDescent="0.2">
      <c r="I16" s="17" t="s">
        <v>231</v>
      </c>
      <c r="J16" s="341"/>
      <c r="K16" s="342"/>
    </row>
    <row r="17" spans="1:255" hidden="1" outlineLevel="1" x14ac:dyDescent="0.2"/>
    <row r="18" spans="1:255" hidden="1" outlineLevel="1" x14ac:dyDescent="0.2">
      <c r="G18" s="343" t="s">
        <v>232</v>
      </c>
      <c r="H18" s="343" t="s">
        <v>233</v>
      </c>
      <c r="I18" s="345" t="s">
        <v>234</v>
      </c>
      <c r="J18" s="346"/>
    </row>
    <row r="19" spans="1:255" ht="13.5" hidden="1" outlineLevel="1" thickBot="1" x14ac:dyDescent="0.25">
      <c r="G19" s="344"/>
      <c r="H19" s="344"/>
      <c r="I19" s="33" t="s">
        <v>235</v>
      </c>
      <c r="J19" s="34" t="s">
        <v>236</v>
      </c>
    </row>
    <row r="20" spans="1:255" ht="19.5" hidden="1" outlineLevel="1" thickBot="1" x14ac:dyDescent="0.35">
      <c r="C20" s="311" t="s">
        <v>237</v>
      </c>
      <c r="D20" s="311"/>
      <c r="E20" s="311"/>
      <c r="F20" s="311"/>
      <c r="G20" s="36"/>
      <c r="H20" s="37"/>
      <c r="I20" s="38"/>
      <c r="J20" s="39"/>
      <c r="K20" s="40"/>
    </row>
    <row r="21" spans="1:255" ht="15.75" hidden="1" outlineLevel="1" x14ac:dyDescent="0.25">
      <c r="C21" s="347" t="s">
        <v>238</v>
      </c>
      <c r="D21" s="347"/>
      <c r="E21" s="347"/>
      <c r="F21" s="347"/>
    </row>
    <row r="22" spans="1:255" hidden="1" outlineLevel="1" x14ac:dyDescent="0.2">
      <c r="C22" s="312"/>
      <c r="D22" s="310"/>
      <c r="E22" s="310"/>
      <c r="F22" s="310"/>
    </row>
    <row r="23" spans="1:255" hidden="1" outlineLevel="1" x14ac:dyDescent="0.2">
      <c r="C23" s="348" t="s">
        <v>15</v>
      </c>
      <c r="D23" s="349"/>
      <c r="E23" s="349"/>
      <c r="F23" s="349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50">
        <f>K140/1000</f>
        <v>297.327</v>
      </c>
      <c r="F26" s="350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35" t="s">
        <v>4</v>
      </c>
      <c r="D29" s="335"/>
      <c r="E29" s="335"/>
      <c r="F29" s="335"/>
      <c r="G29" s="335"/>
      <c r="H29" s="335"/>
      <c r="I29" s="335"/>
      <c r="J29" s="335"/>
      <c r="K29" s="335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35" t="s">
        <v>4</v>
      </c>
      <c r="D30" s="335"/>
      <c r="E30" s="335"/>
      <c r="F30" s="335"/>
      <c r="G30" s="335"/>
      <c r="H30" s="335"/>
      <c r="I30" s="335"/>
      <c r="J30" s="335"/>
      <c r="K30" s="335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355" t="s">
        <v>244</v>
      </c>
      <c r="D31" s="335"/>
      <c r="E31" s="335"/>
      <c r="F31" s="335"/>
      <c r="G31" s="335"/>
      <c r="H31" s="335"/>
      <c r="I31" s="335"/>
      <c r="J31" s="335"/>
      <c r="K31" s="335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11" t="s">
        <v>245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1"/>
    </row>
    <row r="34" spans="1:255" outlineLevel="1" x14ac:dyDescent="0.2">
      <c r="A34" s="356" t="s">
        <v>15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35" t="s">
        <v>402</v>
      </c>
      <c r="D35" s="335"/>
      <c r="E35" s="335"/>
      <c r="F35" s="335"/>
      <c r="G35" s="335"/>
      <c r="H35" s="335"/>
      <c r="I35" s="335"/>
      <c r="J35" s="335"/>
      <c r="K35" s="335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51" t="s">
        <v>255</v>
      </c>
      <c r="B42" s="353" t="s">
        <v>256</v>
      </c>
      <c r="C42" s="353" t="s">
        <v>257</v>
      </c>
      <c r="D42" s="353" t="s">
        <v>258</v>
      </c>
      <c r="E42" s="353" t="s">
        <v>259</v>
      </c>
      <c r="F42" s="353" t="s">
        <v>260</v>
      </c>
      <c r="G42" s="353" t="s">
        <v>261</v>
      </c>
      <c r="H42" s="353" t="s">
        <v>262</v>
      </c>
      <c r="I42" s="353" t="s">
        <v>263</v>
      </c>
      <c r="J42" s="353" t="s">
        <v>264</v>
      </c>
      <c r="K42" s="360" t="s">
        <v>265</v>
      </c>
    </row>
    <row r="43" spans="1:255" x14ac:dyDescent="0.2">
      <c r="A43" s="352"/>
      <c r="B43" s="354"/>
      <c r="C43" s="354"/>
      <c r="D43" s="354"/>
      <c r="E43" s="354"/>
      <c r="F43" s="354"/>
      <c r="G43" s="354"/>
      <c r="H43" s="354"/>
      <c r="I43" s="354"/>
      <c r="J43" s="354"/>
      <c r="K43" s="361"/>
    </row>
    <row r="44" spans="1:255" x14ac:dyDescent="0.2">
      <c r="A44" s="352"/>
      <c r="B44" s="354"/>
      <c r="C44" s="354"/>
      <c r="D44" s="354"/>
      <c r="E44" s="354"/>
      <c r="F44" s="354"/>
      <c r="G44" s="354"/>
      <c r="H44" s="354"/>
      <c r="I44" s="354"/>
      <c r="J44" s="354"/>
      <c r="K44" s="361"/>
    </row>
    <row r="45" spans="1:255" ht="13.5" thickBot="1" x14ac:dyDescent="0.25">
      <c r="A45" s="352"/>
      <c r="B45" s="354"/>
      <c r="C45" s="354"/>
      <c r="D45" s="354"/>
      <c r="E45" s="354"/>
      <c r="F45" s="354"/>
      <c r="G45" s="354"/>
      <c r="H45" s="354"/>
      <c r="I45" s="354"/>
      <c r="J45" s="354"/>
      <c r="K45" s="361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362" t="s">
        <v>16</v>
      </c>
      <c r="D48" s="362"/>
      <c r="E48" s="362"/>
      <c r="F48" s="362"/>
      <c r="G48" s="362"/>
      <c r="H48" s="362"/>
      <c r="I48" s="362"/>
      <c r="J48" s="362"/>
      <c r="K48" s="362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357">
        <f>R56</f>
        <v>11777</v>
      </c>
      <c r="I56" s="358"/>
      <c r="J56" s="357">
        <f>S56</f>
        <v>92547</v>
      </c>
      <c r="K56" s="359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363"/>
      <c r="I57" s="364"/>
      <c r="J57" s="363"/>
      <c r="K57" s="365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357">
        <f>R61</f>
        <v>16406</v>
      </c>
      <c r="I61" s="358"/>
      <c r="J61" s="357">
        <f>S61</f>
        <v>116807</v>
      </c>
      <c r="K61" s="359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363"/>
      <c r="I62" s="364"/>
      <c r="J62" s="363"/>
      <c r="K62" s="365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357">
        <f>R70</f>
        <v>1635</v>
      </c>
      <c r="I70" s="358"/>
      <c r="J70" s="357">
        <f>S70</f>
        <v>17065</v>
      </c>
      <c r="K70" s="359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363"/>
      <c r="I71" s="364"/>
      <c r="J71" s="363"/>
      <c r="K71" s="365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357">
        <f>R78</f>
        <v>4719</v>
      </c>
      <c r="I78" s="358"/>
      <c r="J78" s="357">
        <f>S78</f>
        <v>113690</v>
      </c>
      <c r="K78" s="359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363"/>
      <c r="I79" s="364"/>
      <c r="J79" s="363"/>
      <c r="K79" s="365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3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3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3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3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3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3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3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3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3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3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  <c r="L107">
        <v>0.9</v>
      </c>
      <c r="M107">
        <v>189207</v>
      </c>
    </row>
    <row r="108" spans="3:13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3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3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3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3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3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3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3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3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3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3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3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3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3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3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3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3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  <c r="L125">
        <v>0.75</v>
      </c>
      <c r="M125">
        <v>63981</v>
      </c>
    </row>
    <row r="126" spans="1:13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  <c r="L126">
        <v>0.75</v>
      </c>
      <c r="M126">
        <v>31446</v>
      </c>
    </row>
    <row r="128" spans="1:13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K88+K107+K125+K126</f>
        <v>297326.55000000005</v>
      </c>
      <c r="M128">
        <v>340109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ROUND(K135,0)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22"/>
      <c r="D145" s="322"/>
      <c r="E145" s="322"/>
      <c r="F145" s="322"/>
      <c r="G145" s="163"/>
      <c r="H145" s="163"/>
      <c r="I145" s="322"/>
      <c r="J145" s="322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366" t="s">
        <v>330</v>
      </c>
      <c r="D146" s="366"/>
      <c r="E146" s="366"/>
      <c r="F146" s="366"/>
      <c r="G146" s="366"/>
      <c r="H146" s="366"/>
      <c r="I146" s="366" t="s">
        <v>331</v>
      </c>
      <c r="J146" s="366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22"/>
      <c r="D148" s="322"/>
      <c r="E148" s="322"/>
      <c r="F148" s="322"/>
      <c r="G148" s="163"/>
      <c r="H148" s="163"/>
      <c r="I148" s="322"/>
      <c r="J148" s="322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366" t="s">
        <v>330</v>
      </c>
      <c r="D149" s="366"/>
      <c r="E149" s="366"/>
      <c r="F149" s="366"/>
      <c r="G149" s="366"/>
      <c r="H149" s="366"/>
      <c r="I149" s="366" t="s">
        <v>331</v>
      </c>
      <c r="J149" s="366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22" t="s">
        <v>403</v>
      </c>
      <c r="D154" s="322"/>
      <c r="E154" s="322"/>
      <c r="F154" s="322"/>
      <c r="G154" s="163"/>
      <c r="H154" s="163"/>
      <c r="I154" s="322" t="s">
        <v>7</v>
      </c>
      <c r="J154" s="322"/>
      <c r="K154" s="31">
        <v>45063</v>
      </c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366" t="s">
        <v>330</v>
      </c>
      <c r="D155" s="366"/>
      <c r="E155" s="366"/>
      <c r="F155" s="366"/>
      <c r="G155" s="366"/>
      <c r="H155" s="366"/>
      <c r="I155" s="366" t="s">
        <v>331</v>
      </c>
      <c r="J155" s="366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22" t="s">
        <v>336</v>
      </c>
      <c r="D157" s="322"/>
      <c r="E157" s="322"/>
      <c r="F157" s="322"/>
      <c r="G157" s="163"/>
      <c r="H157" s="163"/>
      <c r="I157" s="322" t="s">
        <v>337</v>
      </c>
      <c r="J157" s="322"/>
      <c r="BY157" s="164" t="str">
        <f>C157</f>
        <v>Руководитель 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366" t="s">
        <v>330</v>
      </c>
      <c r="D158" s="366"/>
      <c r="E158" s="366"/>
      <c r="F158" s="366"/>
      <c r="G158" s="366"/>
      <c r="H158" s="366"/>
      <c r="I158" s="366" t="s">
        <v>331</v>
      </c>
      <c r="J158" s="366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22" t="s">
        <v>338</v>
      </c>
      <c r="D160" s="322"/>
      <c r="E160" s="322"/>
      <c r="F160" s="322"/>
      <c r="G160" s="163"/>
      <c r="H160" s="163"/>
      <c r="I160" s="322" t="s">
        <v>339</v>
      </c>
      <c r="J160" s="322"/>
      <c r="BY160" s="164" t="str">
        <f>C160</f>
        <v>Руководитель ПТС ООО "ОСУ-2"</v>
      </c>
      <c r="BZ160" s="164" t="str">
        <f>I160</f>
        <v>Когтев В.И.</v>
      </c>
      <c r="IU160" s="23"/>
    </row>
    <row r="161" spans="1:10" s="166" customFormat="1" ht="11.25" hidden="1" outlineLevel="1" x14ac:dyDescent="0.2">
      <c r="A161" s="165"/>
      <c r="B161" s="165"/>
      <c r="C161" s="366" t="s">
        <v>330</v>
      </c>
      <c r="D161" s="366"/>
      <c r="E161" s="366"/>
      <c r="F161" s="366"/>
      <c r="G161" s="366"/>
      <c r="H161" s="366"/>
      <c r="I161" s="366" t="s">
        <v>331</v>
      </c>
      <c r="J161" s="366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  <row r="164" spans="1:10" x14ac:dyDescent="0.2">
      <c r="A164" s="31"/>
      <c r="B164" s="31"/>
    </row>
  </sheetData>
  <mergeCells count="85">
    <mergeCell ref="C158:H158"/>
    <mergeCell ref="I158:J158"/>
    <mergeCell ref="C160:F160"/>
    <mergeCell ref="I160:J160"/>
    <mergeCell ref="C161:H161"/>
    <mergeCell ref="I161:J161"/>
    <mergeCell ref="C154:F154"/>
    <mergeCell ref="I154:J154"/>
    <mergeCell ref="C155:H155"/>
    <mergeCell ref="I155:J155"/>
    <mergeCell ref="C157:F157"/>
    <mergeCell ref="I157:J157"/>
    <mergeCell ref="C146:H146"/>
    <mergeCell ref="I146:J146"/>
    <mergeCell ref="C148:F148"/>
    <mergeCell ref="I148:J148"/>
    <mergeCell ref="C149:H149"/>
    <mergeCell ref="I149:J149"/>
    <mergeCell ref="H78:I78"/>
    <mergeCell ref="J78:K78"/>
    <mergeCell ref="H79:I79"/>
    <mergeCell ref="J79:K79"/>
    <mergeCell ref="C145:F145"/>
    <mergeCell ref="I145:J145"/>
    <mergeCell ref="H62:I62"/>
    <mergeCell ref="J62:K62"/>
    <mergeCell ref="H70:I70"/>
    <mergeCell ref="J70:K70"/>
    <mergeCell ref="H71:I71"/>
    <mergeCell ref="J71:K71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41"/>
  <sheetViews>
    <sheetView tabSelected="1" view="pageBreakPreview" topLeftCell="A101" zoomScale="93" zoomScaleNormal="93" zoomScaleSheetLayoutView="93" workbookViewId="0">
      <selection activeCell="Z112" sqref="Z112"/>
    </sheetView>
  </sheetViews>
  <sheetFormatPr defaultRowHeight="16.5" x14ac:dyDescent="0.3"/>
  <cols>
    <col min="1" max="1" width="5" style="200" customWidth="1"/>
    <col min="2" max="2" width="9.42578125" style="200" customWidth="1"/>
    <col min="3" max="3" width="54" style="206" customWidth="1"/>
    <col min="4" max="4" width="11.5703125" style="206" bestFit="1" customWidth="1"/>
    <col min="5" max="5" width="11.42578125" style="206" customWidth="1"/>
    <col min="6" max="6" width="14.7109375" style="230" customWidth="1"/>
    <col min="7" max="7" width="16.85546875" style="230" customWidth="1"/>
    <col min="8" max="11" width="9.140625" style="200"/>
    <col min="12" max="12" width="15" style="200" hidden="1" customWidth="1"/>
    <col min="13" max="24" width="0" style="200" hidden="1" customWidth="1"/>
    <col min="25" max="16384" width="9.140625" style="200"/>
  </cols>
  <sheetData>
    <row r="1" spans="1:7" x14ac:dyDescent="0.3">
      <c r="A1" s="198"/>
      <c r="B1" s="198"/>
      <c r="C1" s="199"/>
      <c r="D1" s="199"/>
      <c r="E1" s="371" t="s">
        <v>404</v>
      </c>
      <c r="F1" s="371"/>
      <c r="G1" s="371"/>
    </row>
    <row r="2" spans="1:7" ht="16.5" customHeight="1" x14ac:dyDescent="0.3">
      <c r="A2" s="198"/>
      <c r="B2" s="198"/>
      <c r="C2" s="199"/>
      <c r="D2" s="199"/>
      <c r="E2" s="372" t="s">
        <v>405</v>
      </c>
      <c r="F2" s="372"/>
      <c r="G2" s="372"/>
    </row>
    <row r="3" spans="1:7" ht="16.5" customHeight="1" x14ac:dyDescent="0.3">
      <c r="A3" s="198"/>
      <c r="B3" s="198"/>
      <c r="C3" s="199"/>
      <c r="D3" s="199"/>
      <c r="E3" s="201"/>
      <c r="F3" s="202"/>
      <c r="G3" s="203" t="s">
        <v>436</v>
      </c>
    </row>
    <row r="4" spans="1:7" x14ac:dyDescent="0.3">
      <c r="A4" s="198"/>
      <c r="B4" s="198"/>
      <c r="C4" s="199"/>
      <c r="D4" s="199"/>
      <c r="E4" s="204"/>
      <c r="F4" s="205"/>
      <c r="G4" s="203"/>
    </row>
    <row r="5" spans="1:7" x14ac:dyDescent="0.3">
      <c r="E5" s="207"/>
      <c r="F5" s="208"/>
      <c r="G5" s="209"/>
    </row>
    <row r="6" spans="1:7" ht="18.75" x14ac:dyDescent="0.3">
      <c r="A6" s="373" t="s">
        <v>406</v>
      </c>
      <c r="B6" s="373"/>
      <c r="C6" s="373"/>
      <c r="D6" s="373"/>
      <c r="E6" s="373"/>
      <c r="F6" s="373"/>
      <c r="G6" s="373"/>
    </row>
    <row r="7" spans="1:7" ht="18.75" x14ac:dyDescent="0.3">
      <c r="A7" s="210"/>
      <c r="B7" s="210"/>
      <c r="C7" s="211"/>
      <c r="D7" s="211"/>
      <c r="E7" s="211"/>
      <c r="F7" s="374"/>
      <c r="G7" s="374"/>
    </row>
    <row r="8" spans="1:7" ht="26.25" customHeight="1" x14ac:dyDescent="0.3">
      <c r="A8" s="212" t="s">
        <v>224</v>
      </c>
      <c r="B8" s="213"/>
      <c r="C8" s="375" t="s">
        <v>438</v>
      </c>
      <c r="D8" s="375"/>
      <c r="E8" s="375"/>
      <c r="F8" s="375"/>
      <c r="G8" s="375"/>
    </row>
    <row r="9" spans="1:7" ht="35.25" customHeight="1" x14ac:dyDescent="0.3">
      <c r="A9" s="367" t="s">
        <v>432</v>
      </c>
      <c r="B9" s="367"/>
      <c r="C9" s="231" t="s">
        <v>622</v>
      </c>
      <c r="D9" s="231"/>
      <c r="E9" s="231"/>
      <c r="F9" s="231"/>
      <c r="G9" s="231"/>
    </row>
    <row r="10" spans="1:7" x14ac:dyDescent="0.3">
      <c r="A10" s="214" t="s">
        <v>407</v>
      </c>
      <c r="B10" s="215"/>
      <c r="C10" s="216"/>
      <c r="D10" s="216"/>
      <c r="E10" s="216"/>
      <c r="F10" s="217"/>
      <c r="G10" s="218"/>
    </row>
    <row r="11" spans="1:7" s="221" customFormat="1" x14ac:dyDescent="0.3">
      <c r="A11" s="219"/>
      <c r="B11" s="220"/>
      <c r="C11" s="368" t="s">
        <v>408</v>
      </c>
      <c r="D11" s="368"/>
      <c r="E11" s="368"/>
      <c r="F11" s="368"/>
      <c r="G11" s="368"/>
    </row>
    <row r="12" spans="1:7" s="221" customFormat="1" x14ac:dyDescent="0.3">
      <c r="A12" s="219"/>
      <c r="B12" s="220"/>
      <c r="C12" s="222" t="s">
        <v>409</v>
      </c>
      <c r="D12" s="222"/>
      <c r="E12" s="222"/>
      <c r="F12" s="223"/>
      <c r="G12" s="223"/>
    </row>
    <row r="13" spans="1:7" x14ac:dyDescent="0.3">
      <c r="A13" s="224"/>
      <c r="B13" s="224"/>
      <c r="C13" s="225"/>
      <c r="D13" s="225"/>
      <c r="E13" s="225"/>
      <c r="F13" s="218"/>
      <c r="G13" s="218"/>
    </row>
    <row r="14" spans="1:7" s="226" customFormat="1" ht="12.75" x14ac:dyDescent="0.2">
      <c r="A14" s="378" t="s">
        <v>410</v>
      </c>
      <c r="B14" s="379" t="s">
        <v>256</v>
      </c>
      <c r="C14" s="378" t="s">
        <v>257</v>
      </c>
      <c r="D14" s="378" t="s">
        <v>411</v>
      </c>
      <c r="E14" s="378" t="s">
        <v>412</v>
      </c>
      <c r="F14" s="369" t="s">
        <v>413</v>
      </c>
      <c r="G14" s="369" t="s">
        <v>414</v>
      </c>
    </row>
    <row r="15" spans="1:7" s="227" customFormat="1" ht="11.25" x14ac:dyDescent="0.2">
      <c r="A15" s="378"/>
      <c r="B15" s="380"/>
      <c r="C15" s="378"/>
      <c r="D15" s="378"/>
      <c r="E15" s="378"/>
      <c r="F15" s="370"/>
      <c r="G15" s="370"/>
    </row>
    <row r="16" spans="1:7" s="206" customFormat="1" ht="17.25" thickBot="1" x14ac:dyDescent="0.35">
      <c r="A16" s="228">
        <v>1</v>
      </c>
      <c r="B16" s="228">
        <v>2</v>
      </c>
      <c r="C16" s="228">
        <v>3</v>
      </c>
      <c r="D16" s="228">
        <v>4</v>
      </c>
      <c r="E16" s="228">
        <v>5</v>
      </c>
      <c r="F16" s="229">
        <v>6</v>
      </c>
      <c r="G16" s="229">
        <v>7</v>
      </c>
    </row>
    <row r="17" spans="1:255" customFormat="1" ht="12.75" x14ac:dyDescent="0.2">
      <c r="A17" s="49"/>
      <c r="B17" s="49"/>
      <c r="C17" s="250" t="s">
        <v>577</v>
      </c>
      <c r="D17" s="49"/>
      <c r="E17" s="49"/>
      <c r="F17" s="49"/>
      <c r="G17" s="49"/>
    </row>
    <row r="18" spans="1:255" customFormat="1" ht="19.5" customHeight="1" thickBot="1" x14ac:dyDescent="0.25">
      <c r="A18" s="50"/>
      <c r="B18" s="50"/>
      <c r="C18" s="362" t="s">
        <v>576</v>
      </c>
      <c r="D18" s="362"/>
      <c r="E18" s="362"/>
      <c r="F18" s="362"/>
      <c r="G18" s="36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51" t="s">
        <v>576</v>
      </c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pans="1:255" customFormat="1" ht="13.5" hidden="1" thickBot="1" x14ac:dyDescent="0.25"/>
    <row r="20" spans="1:255" customFormat="1" ht="23.25" x14ac:dyDescent="0.2">
      <c r="A20" s="52">
        <v>1</v>
      </c>
      <c r="B20" s="60" t="s">
        <v>534</v>
      </c>
      <c r="C20" s="53" t="s">
        <v>533</v>
      </c>
      <c r="D20" s="54" t="s">
        <v>468</v>
      </c>
      <c r="E20" s="55">
        <v>0.307</v>
      </c>
      <c r="F20" s="232"/>
      <c r="G20" s="59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</row>
    <row r="21" spans="1:255" customFormat="1" ht="12.75" x14ac:dyDescent="0.2">
      <c r="A21" s="249" t="s">
        <v>475</v>
      </c>
      <c r="B21" s="248" t="s">
        <v>532</v>
      </c>
      <c r="C21" s="247" t="s">
        <v>531</v>
      </c>
      <c r="D21" s="246" t="s">
        <v>194</v>
      </c>
      <c r="E21" s="245">
        <v>0.36840000000000001</v>
      </c>
      <c r="F21" s="244"/>
      <c r="G21" s="24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>
        <v>17</v>
      </c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>
        <v>55.37</v>
      </c>
      <c r="DJ21" s="23"/>
      <c r="DK21" s="23"/>
      <c r="DL21" s="235">
        <v>55.37</v>
      </c>
      <c r="DM21" s="23">
        <v>17</v>
      </c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</row>
    <row r="22" spans="1:255" customFormat="1" ht="12.75" x14ac:dyDescent="0.2">
      <c r="A22" s="249" t="s">
        <v>462</v>
      </c>
      <c r="B22" s="248" t="s">
        <v>530</v>
      </c>
      <c r="C22" s="247" t="s">
        <v>529</v>
      </c>
      <c r="D22" s="246" t="s">
        <v>434</v>
      </c>
      <c r="E22" s="245">
        <v>2548</v>
      </c>
      <c r="F22" s="244"/>
      <c r="G22" s="24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>
        <v>2889</v>
      </c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>
        <v>9410.42</v>
      </c>
      <c r="DJ22" s="23"/>
      <c r="DK22" s="23"/>
      <c r="DL22" s="235">
        <v>9410.42</v>
      </c>
      <c r="DM22" s="23">
        <v>2889</v>
      </c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</row>
    <row r="23" spans="1:255" customFormat="1" ht="12.75" x14ac:dyDescent="0.2">
      <c r="A23" s="249" t="s">
        <v>461</v>
      </c>
      <c r="B23" s="248" t="s">
        <v>523</v>
      </c>
      <c r="C23" s="247" t="s">
        <v>522</v>
      </c>
      <c r="D23" s="246" t="s">
        <v>431</v>
      </c>
      <c r="E23" s="245">
        <v>0.11051999999999999</v>
      </c>
      <c r="F23" s="244"/>
      <c r="G23" s="24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>
        <v>4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>
        <v>13.03</v>
      </c>
      <c r="DJ23" s="23"/>
      <c r="DK23" s="23"/>
      <c r="DL23" s="235">
        <v>13.03</v>
      </c>
      <c r="DM23" s="23">
        <v>4</v>
      </c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</row>
    <row r="24" spans="1:255" customFormat="1" ht="24" x14ac:dyDescent="0.2">
      <c r="A24" s="249" t="s">
        <v>575</v>
      </c>
      <c r="B24" s="248" t="s">
        <v>520</v>
      </c>
      <c r="C24" s="247" t="s">
        <v>519</v>
      </c>
      <c r="D24" s="246" t="s">
        <v>434</v>
      </c>
      <c r="E24" s="245">
        <v>1274</v>
      </c>
      <c r="F24" s="244"/>
      <c r="G24" s="24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>
        <v>6935</v>
      </c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>
        <v>22589.58</v>
      </c>
      <c r="DJ24" s="23"/>
      <c r="DK24" s="23"/>
      <c r="DL24" s="235">
        <v>22589.58</v>
      </c>
      <c r="DM24" s="23">
        <v>6935</v>
      </c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customFormat="1" ht="12.75" x14ac:dyDescent="0.2">
      <c r="A25" s="242" t="s">
        <v>574</v>
      </c>
      <c r="B25" s="241" t="s">
        <v>520</v>
      </c>
      <c r="C25" s="240" t="s">
        <v>573</v>
      </c>
      <c r="D25" s="239" t="s">
        <v>434</v>
      </c>
      <c r="E25" s="238">
        <v>1092</v>
      </c>
      <c r="F25" s="237"/>
      <c r="G25" s="236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>
        <v>51762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>
        <v>168605.86</v>
      </c>
      <c r="DJ25" s="23"/>
      <c r="DK25" s="23"/>
      <c r="DL25" s="235">
        <v>168605.86</v>
      </c>
      <c r="DM25" s="23">
        <v>51762</v>
      </c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</row>
    <row r="26" spans="1:255" s="251" customFormat="1" ht="48" x14ac:dyDescent="0.2">
      <c r="A26" s="253">
        <v>2</v>
      </c>
      <c r="B26" s="254" t="s">
        <v>498</v>
      </c>
      <c r="C26" s="255" t="s">
        <v>497</v>
      </c>
      <c r="D26" s="256" t="s">
        <v>496</v>
      </c>
      <c r="E26" s="257">
        <v>15.358000000000001</v>
      </c>
      <c r="F26" s="258"/>
      <c r="G26" s="259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52"/>
      <c r="DS26" s="252"/>
      <c r="DT26" s="252"/>
      <c r="DU26" s="252"/>
      <c r="DV26" s="252"/>
      <c r="DW26" s="252"/>
      <c r="DX26" s="252"/>
      <c r="DY26" s="252"/>
      <c r="DZ26" s="252"/>
      <c r="EA26" s="252"/>
      <c r="EB26" s="252"/>
      <c r="EC26" s="252"/>
      <c r="ED26" s="252"/>
      <c r="EE26" s="252"/>
      <c r="EF26" s="252"/>
      <c r="EG26" s="252"/>
      <c r="EH26" s="252"/>
      <c r="EI26" s="252"/>
      <c r="EJ26" s="252"/>
      <c r="EK26" s="252"/>
      <c r="EL26" s="252"/>
      <c r="EM26" s="252"/>
      <c r="EN26" s="252"/>
      <c r="EO26" s="252"/>
      <c r="EP26" s="252"/>
      <c r="EQ26" s="252"/>
      <c r="ER26" s="252"/>
      <c r="ES26" s="252"/>
      <c r="ET26" s="252"/>
      <c r="EU26" s="252"/>
      <c r="EV26" s="252"/>
      <c r="EW26" s="252"/>
      <c r="EX26" s="252"/>
      <c r="EY26" s="252"/>
      <c r="EZ26" s="252"/>
      <c r="FA26" s="252"/>
      <c r="FB26" s="252"/>
      <c r="FC26" s="252"/>
      <c r="FD26" s="252"/>
      <c r="FE26" s="252"/>
      <c r="FF26" s="252"/>
      <c r="FG26" s="252"/>
      <c r="FH26" s="252"/>
      <c r="FI26" s="252"/>
      <c r="FJ26" s="252"/>
      <c r="FK26" s="252"/>
      <c r="FL26" s="252"/>
      <c r="FM26" s="252"/>
      <c r="FN26" s="252"/>
      <c r="FO26" s="252"/>
      <c r="FP26" s="252"/>
      <c r="FQ26" s="252"/>
      <c r="FR26" s="252"/>
      <c r="FS26" s="252"/>
      <c r="FT26" s="252"/>
      <c r="FU26" s="252"/>
      <c r="FV26" s="252"/>
      <c r="FW26" s="252"/>
      <c r="FX26" s="252"/>
      <c r="FY26" s="252"/>
      <c r="FZ26" s="252"/>
      <c r="GA26" s="252"/>
      <c r="GB26" s="252"/>
      <c r="GC26" s="252"/>
      <c r="GD26" s="252"/>
      <c r="GE26" s="252"/>
      <c r="GF26" s="252"/>
      <c r="GG26" s="252"/>
      <c r="GH26" s="252"/>
      <c r="GI26" s="252"/>
      <c r="GJ26" s="252"/>
      <c r="GK26" s="252"/>
      <c r="GL26" s="252"/>
      <c r="GM26" s="252"/>
      <c r="GN26" s="252"/>
      <c r="GO26" s="252"/>
      <c r="GP26" s="252"/>
      <c r="GQ26" s="252"/>
      <c r="GR26" s="252"/>
      <c r="GS26" s="252"/>
      <c r="GT26" s="252"/>
      <c r="GU26" s="252"/>
      <c r="GV26" s="252"/>
      <c r="GW26" s="252"/>
      <c r="GX26" s="252"/>
      <c r="GY26" s="252"/>
      <c r="GZ26" s="252"/>
      <c r="HA26" s="252"/>
      <c r="HB26" s="252"/>
      <c r="HC26" s="252"/>
      <c r="HD26" s="252"/>
      <c r="HE26" s="252"/>
      <c r="HF26" s="252"/>
      <c r="HG26" s="252"/>
      <c r="HH26" s="252"/>
      <c r="HI26" s="252"/>
      <c r="HJ26" s="252"/>
      <c r="HK26" s="252"/>
      <c r="HL26" s="252"/>
      <c r="HM26" s="252"/>
      <c r="HN26" s="252"/>
      <c r="HO26" s="252"/>
      <c r="HP26" s="252"/>
      <c r="HQ26" s="252"/>
      <c r="HR26" s="252"/>
      <c r="HS26" s="252"/>
      <c r="HT26" s="252"/>
      <c r="HU26" s="252"/>
      <c r="HV26" s="252"/>
      <c r="HW26" s="252"/>
      <c r="HX26" s="252"/>
      <c r="HY26" s="252"/>
      <c r="HZ26" s="252"/>
      <c r="IA26" s="252"/>
      <c r="IB26" s="252"/>
      <c r="IC26" s="252"/>
      <c r="ID26" s="252"/>
      <c r="IE26" s="252"/>
      <c r="IF26" s="252"/>
      <c r="IG26" s="252"/>
      <c r="IH26" s="252"/>
      <c r="II26" s="252"/>
      <c r="IJ26" s="252"/>
      <c r="IK26" s="252"/>
      <c r="IL26" s="252"/>
      <c r="IM26" s="252"/>
      <c r="IN26" s="252"/>
      <c r="IO26" s="252"/>
      <c r="IP26" s="252"/>
      <c r="IQ26" s="252"/>
      <c r="IR26" s="252"/>
      <c r="IS26" s="252"/>
      <c r="IT26" s="252"/>
      <c r="IU26" s="252"/>
    </row>
    <row r="27" spans="1:255" customFormat="1" ht="24" x14ac:dyDescent="0.2">
      <c r="A27" s="249" t="s">
        <v>453</v>
      </c>
      <c r="B27" s="248" t="s">
        <v>495</v>
      </c>
      <c r="C27" s="247" t="s">
        <v>494</v>
      </c>
      <c r="D27" s="246" t="s">
        <v>431</v>
      </c>
      <c r="E27" s="245">
        <v>51.25</v>
      </c>
      <c r="F27" s="244"/>
      <c r="G27" s="24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>
        <v>6893</v>
      </c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>
        <v>448.82</v>
      </c>
      <c r="DJ27" s="23"/>
      <c r="DK27" s="23"/>
      <c r="DL27" s="235">
        <v>448.82</v>
      </c>
      <c r="DM27" s="23">
        <v>6893</v>
      </c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</row>
    <row r="28" spans="1:255" customFormat="1" ht="36" x14ac:dyDescent="0.2">
      <c r="A28" s="249" t="s">
        <v>452</v>
      </c>
      <c r="B28" s="248" t="s">
        <v>493</v>
      </c>
      <c r="C28" s="247" t="s">
        <v>492</v>
      </c>
      <c r="D28" s="246" t="s">
        <v>431</v>
      </c>
      <c r="E28" s="245">
        <v>187.38</v>
      </c>
      <c r="F28" s="244"/>
      <c r="G28" s="24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>
        <v>24025</v>
      </c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>
        <v>1564.33</v>
      </c>
      <c r="DJ28" s="23"/>
      <c r="DK28" s="23"/>
      <c r="DL28" s="235">
        <v>1564.33</v>
      </c>
      <c r="DM28" s="23">
        <v>24025</v>
      </c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</row>
    <row r="29" spans="1:255" customFormat="1" ht="24" x14ac:dyDescent="0.2">
      <c r="A29" s="249" t="s">
        <v>460</v>
      </c>
      <c r="B29" s="248" t="s">
        <v>491</v>
      </c>
      <c r="C29" s="247" t="s">
        <v>490</v>
      </c>
      <c r="D29" s="246" t="s">
        <v>434</v>
      </c>
      <c r="E29" s="245">
        <v>884.00648000000001</v>
      </c>
      <c r="F29" s="244"/>
      <c r="G29" s="24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>
        <v>190802</v>
      </c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>
        <v>12423.62</v>
      </c>
      <c r="DJ29" s="23"/>
      <c r="DK29" s="23"/>
      <c r="DL29" s="235">
        <v>12423.62</v>
      </c>
      <c r="DM29" s="23">
        <v>190802</v>
      </c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</row>
    <row r="30" spans="1:255" customFormat="1" ht="12.75" x14ac:dyDescent="0.2">
      <c r="A30" s="249" t="s">
        <v>572</v>
      </c>
      <c r="B30" s="248" t="s">
        <v>489</v>
      </c>
      <c r="C30" s="247" t="s">
        <v>488</v>
      </c>
      <c r="D30" s="246" t="s">
        <v>476</v>
      </c>
      <c r="E30" s="245">
        <v>3302.88</v>
      </c>
      <c r="F30" s="244"/>
      <c r="G30" s="24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>
        <v>38204</v>
      </c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>
        <v>2487.56</v>
      </c>
      <c r="DJ30" s="23"/>
      <c r="DK30" s="23"/>
      <c r="DL30" s="235">
        <v>2487.56</v>
      </c>
      <c r="DM30" s="23">
        <v>38204</v>
      </c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</row>
    <row r="31" spans="1:255" customFormat="1" ht="24" x14ac:dyDescent="0.2">
      <c r="A31" s="249" t="s">
        <v>571</v>
      </c>
      <c r="B31" s="248" t="s">
        <v>487</v>
      </c>
      <c r="C31" s="247" t="s">
        <v>486</v>
      </c>
      <c r="D31" s="246" t="s">
        <v>474</v>
      </c>
      <c r="E31" s="245">
        <v>345.8</v>
      </c>
      <c r="F31" s="244"/>
      <c r="G31" s="24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>
        <v>36155</v>
      </c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>
        <v>2354.15</v>
      </c>
      <c r="DJ31" s="23"/>
      <c r="DK31" s="23"/>
      <c r="DL31" s="235">
        <v>2354.15</v>
      </c>
      <c r="DM31" s="23">
        <v>36155</v>
      </c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</row>
    <row r="32" spans="1:255" customFormat="1" ht="12.75" x14ac:dyDescent="0.2">
      <c r="A32" s="249" t="s">
        <v>570</v>
      </c>
      <c r="B32" s="248" t="s">
        <v>484</v>
      </c>
      <c r="C32" s="247" t="s">
        <v>483</v>
      </c>
      <c r="D32" s="246" t="s">
        <v>434</v>
      </c>
      <c r="E32" s="245">
        <v>12286.4</v>
      </c>
      <c r="F32" s="244"/>
      <c r="G32" s="24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>
        <v>40869</v>
      </c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>
        <v>2661.09</v>
      </c>
      <c r="DJ32" s="23"/>
      <c r="DK32" s="23"/>
      <c r="DL32" s="235">
        <v>2661.09</v>
      </c>
      <c r="DM32" s="23">
        <v>40869</v>
      </c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</row>
    <row r="33" spans="1:255" customFormat="1" ht="12.75" x14ac:dyDescent="0.2">
      <c r="A33" s="249" t="s">
        <v>569</v>
      </c>
      <c r="B33" s="248" t="s">
        <v>568</v>
      </c>
      <c r="C33" s="247" t="s">
        <v>567</v>
      </c>
      <c r="D33" s="246" t="s">
        <v>434</v>
      </c>
      <c r="E33" s="245">
        <v>1274</v>
      </c>
      <c r="F33" s="244"/>
      <c r="G33" s="24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>
        <v>385</v>
      </c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>
        <v>25.07</v>
      </c>
      <c r="DJ33" s="23"/>
      <c r="DK33" s="23"/>
      <c r="DL33" s="235">
        <v>25.07</v>
      </c>
      <c r="DM33" s="23">
        <v>385</v>
      </c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</row>
    <row r="34" spans="1:255" customFormat="1" ht="24" x14ac:dyDescent="0.2">
      <c r="A34" s="249" t="s">
        <v>566</v>
      </c>
      <c r="B34" s="248" t="s">
        <v>528</v>
      </c>
      <c r="C34" s="247" t="s">
        <v>565</v>
      </c>
      <c r="D34" s="246" t="s">
        <v>474</v>
      </c>
      <c r="E34" s="245">
        <v>385.7</v>
      </c>
      <c r="F34" s="244"/>
      <c r="G34" s="24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>
        <v>4549</v>
      </c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>
        <v>296.2</v>
      </c>
      <c r="DJ34" s="23"/>
      <c r="DK34" s="23"/>
      <c r="DL34" s="235">
        <v>296.2</v>
      </c>
      <c r="DM34" s="23">
        <v>4549</v>
      </c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</row>
    <row r="35" spans="1:255" customFormat="1" ht="24" x14ac:dyDescent="0.2">
      <c r="A35" s="249" t="s">
        <v>564</v>
      </c>
      <c r="B35" s="248" t="s">
        <v>563</v>
      </c>
      <c r="C35" s="247" t="s">
        <v>562</v>
      </c>
      <c r="D35" s="246" t="s">
        <v>435</v>
      </c>
      <c r="E35" s="245">
        <v>28</v>
      </c>
      <c r="F35" s="244"/>
      <c r="G35" s="24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>
        <v>1375674</v>
      </c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>
        <v>89573.77</v>
      </c>
      <c r="DJ35" s="23"/>
      <c r="DK35" s="23"/>
      <c r="DL35" s="235">
        <v>89573.77</v>
      </c>
      <c r="DM35" s="23">
        <v>1375674</v>
      </c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</row>
    <row r="36" spans="1:255" customFormat="1" ht="24" x14ac:dyDescent="0.2">
      <c r="A36" s="249" t="s">
        <v>561</v>
      </c>
      <c r="B36" s="248" t="s">
        <v>560</v>
      </c>
      <c r="C36" s="247" t="s">
        <v>559</v>
      </c>
      <c r="D36" s="246" t="s">
        <v>435</v>
      </c>
      <c r="E36" s="245">
        <v>125.99999999999999</v>
      </c>
      <c r="F36" s="244"/>
      <c r="G36" s="24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>
        <v>6232895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>
        <v>405840.28</v>
      </c>
      <c r="DJ36" s="23"/>
      <c r="DK36" s="23"/>
      <c r="DL36" s="235">
        <v>405840.28</v>
      </c>
      <c r="DM36" s="23">
        <v>6232895</v>
      </c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</row>
    <row r="37" spans="1:255" customFormat="1" ht="24" x14ac:dyDescent="0.2">
      <c r="A37" s="242" t="s">
        <v>558</v>
      </c>
      <c r="B37" s="241" t="s">
        <v>557</v>
      </c>
      <c r="C37" s="240" t="s">
        <v>556</v>
      </c>
      <c r="D37" s="239" t="s">
        <v>435</v>
      </c>
      <c r="E37" s="238">
        <v>28</v>
      </c>
      <c r="F37" s="237"/>
      <c r="G37" s="236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>
        <v>1463644</v>
      </c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>
        <v>95301.73</v>
      </c>
      <c r="DJ37" s="23"/>
      <c r="DK37" s="23"/>
      <c r="DL37" s="235">
        <v>95301.73</v>
      </c>
      <c r="DM37" s="23">
        <v>1463644</v>
      </c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</row>
    <row r="38" spans="1:255" customFormat="1" ht="33.75" x14ac:dyDescent="0.2">
      <c r="A38" s="101">
        <v>3</v>
      </c>
      <c r="B38" s="109" t="s">
        <v>555</v>
      </c>
      <c r="C38" s="102" t="s">
        <v>554</v>
      </c>
      <c r="D38" s="103" t="s">
        <v>553</v>
      </c>
      <c r="E38" s="104">
        <v>0.43099999999999999</v>
      </c>
      <c r="F38" s="233"/>
      <c r="G38" s="108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</row>
    <row r="39" spans="1:255" customFormat="1" ht="24" x14ac:dyDescent="0.2">
      <c r="A39" s="249" t="s">
        <v>459</v>
      </c>
      <c r="B39" s="248" t="s">
        <v>487</v>
      </c>
      <c r="C39" s="247" t="s">
        <v>486</v>
      </c>
      <c r="D39" s="246" t="s">
        <v>474</v>
      </c>
      <c r="E39" s="245">
        <v>16.899999999999999</v>
      </c>
      <c r="F39" s="244"/>
      <c r="G39" s="24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>
        <v>1767</v>
      </c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>
        <v>4099.7700000000004</v>
      </c>
      <c r="DJ39" s="23"/>
      <c r="DK39" s="23"/>
      <c r="DL39" s="235">
        <v>4099.7700000000004</v>
      </c>
      <c r="DM39" s="23">
        <v>1767</v>
      </c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</row>
    <row r="40" spans="1:255" customFormat="1" ht="24" x14ac:dyDescent="0.2">
      <c r="A40" s="249" t="s">
        <v>451</v>
      </c>
      <c r="B40" s="248" t="s">
        <v>552</v>
      </c>
      <c r="C40" s="247" t="s">
        <v>551</v>
      </c>
      <c r="D40" s="246" t="s">
        <v>474</v>
      </c>
      <c r="E40" s="245">
        <v>33.799999999999997</v>
      </c>
      <c r="F40" s="244"/>
      <c r="G40" s="24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>
        <v>399</v>
      </c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>
        <v>925.75</v>
      </c>
      <c r="DJ40" s="23"/>
      <c r="DK40" s="23"/>
      <c r="DL40" s="235">
        <v>925.75</v>
      </c>
      <c r="DM40" s="23">
        <v>399</v>
      </c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</row>
    <row r="41" spans="1:255" customFormat="1" ht="12.75" x14ac:dyDescent="0.2">
      <c r="A41" s="249" t="s">
        <v>473</v>
      </c>
      <c r="B41" s="248" t="s">
        <v>550</v>
      </c>
      <c r="C41" s="247" t="s">
        <v>549</v>
      </c>
      <c r="D41" s="246" t="s">
        <v>194</v>
      </c>
      <c r="E41" s="245">
        <v>0.40083000000000002</v>
      </c>
      <c r="F41" s="244"/>
      <c r="G41" s="24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>
        <v>6705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>
        <v>15556.84</v>
      </c>
      <c r="DJ41" s="23"/>
      <c r="DK41" s="23"/>
      <c r="DL41" s="235">
        <v>15556.84</v>
      </c>
      <c r="DM41" s="23">
        <v>6705</v>
      </c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</row>
    <row r="42" spans="1:255" customFormat="1" ht="24" x14ac:dyDescent="0.2">
      <c r="A42" s="249" t="s">
        <v>472</v>
      </c>
      <c r="B42" s="248" t="s">
        <v>548</v>
      </c>
      <c r="C42" s="247" t="s">
        <v>547</v>
      </c>
      <c r="D42" s="246" t="s">
        <v>194</v>
      </c>
      <c r="E42" s="245">
        <v>5.1720000000000002E-2</v>
      </c>
      <c r="F42" s="244"/>
      <c r="G42" s="24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>
        <v>865</v>
      </c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>
        <v>2006.96</v>
      </c>
      <c r="DJ42" s="23"/>
      <c r="DK42" s="23"/>
      <c r="DL42" s="235">
        <v>2006.96</v>
      </c>
      <c r="DM42" s="23">
        <v>865</v>
      </c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</row>
    <row r="43" spans="1:255" customFormat="1" ht="12.75" x14ac:dyDescent="0.2">
      <c r="A43" s="249" t="s">
        <v>471</v>
      </c>
      <c r="B43" s="248" t="s">
        <v>546</v>
      </c>
      <c r="C43" s="247" t="s">
        <v>545</v>
      </c>
      <c r="D43" s="246" t="s">
        <v>194</v>
      </c>
      <c r="E43" s="245">
        <v>4.3099999999999996E-3</v>
      </c>
      <c r="F43" s="244"/>
      <c r="G43" s="24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>
        <v>72</v>
      </c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>
        <v>167.05</v>
      </c>
      <c r="DJ43" s="23"/>
      <c r="DK43" s="23"/>
      <c r="DL43" s="235">
        <v>167.05</v>
      </c>
      <c r="DM43" s="23">
        <v>72</v>
      </c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</row>
    <row r="44" spans="1:255" customFormat="1" ht="12.75" x14ac:dyDescent="0.2">
      <c r="A44" s="242" t="s">
        <v>544</v>
      </c>
      <c r="B44" s="241" t="s">
        <v>543</v>
      </c>
      <c r="C44" s="240" t="s">
        <v>542</v>
      </c>
      <c r="D44" s="239" t="s">
        <v>430</v>
      </c>
      <c r="E44" s="238">
        <v>1.297E-3</v>
      </c>
      <c r="F44" s="237"/>
      <c r="G44" s="236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>
        <v>62</v>
      </c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>
        <v>143.85</v>
      </c>
      <c r="DJ44" s="23"/>
      <c r="DK44" s="23"/>
      <c r="DL44" s="235">
        <v>143.85</v>
      </c>
      <c r="DM44" s="23">
        <v>62</v>
      </c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</row>
    <row r="45" spans="1:255" customFormat="1" ht="45" x14ac:dyDescent="0.2">
      <c r="A45" s="101">
        <v>4</v>
      </c>
      <c r="B45" s="109" t="s">
        <v>541</v>
      </c>
      <c r="C45" s="102" t="s">
        <v>540</v>
      </c>
      <c r="D45" s="103" t="s">
        <v>539</v>
      </c>
      <c r="E45" s="104">
        <v>0.3</v>
      </c>
      <c r="F45" s="233"/>
      <c r="G45" s="108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</row>
    <row r="46" spans="1:255" customFormat="1" ht="12.75" x14ac:dyDescent="0.2">
      <c r="A46" s="249" t="s">
        <v>450</v>
      </c>
      <c r="B46" s="248" t="s">
        <v>464</v>
      </c>
      <c r="C46" s="247" t="s">
        <v>463</v>
      </c>
      <c r="D46" s="246" t="s">
        <v>431</v>
      </c>
      <c r="E46" s="245">
        <v>3</v>
      </c>
      <c r="F46" s="244"/>
      <c r="G46" s="24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>
        <v>97</v>
      </c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>
        <v>323.33</v>
      </c>
      <c r="DJ46" s="23"/>
      <c r="DK46" s="23"/>
      <c r="DL46" s="235">
        <v>323.33</v>
      </c>
      <c r="DM46" s="23">
        <v>97</v>
      </c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</row>
    <row r="47" spans="1:255" customFormat="1" ht="12.75" x14ac:dyDescent="0.2">
      <c r="A47" s="249" t="s">
        <v>449</v>
      </c>
      <c r="B47" s="248" t="s">
        <v>538</v>
      </c>
      <c r="C47" s="247" t="s">
        <v>537</v>
      </c>
      <c r="D47" s="246" t="s">
        <v>431</v>
      </c>
      <c r="E47" s="245">
        <v>19.5</v>
      </c>
      <c r="F47" s="244"/>
      <c r="G47" s="24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>
        <v>706</v>
      </c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>
        <v>2353.33</v>
      </c>
      <c r="DJ47" s="23"/>
      <c r="DK47" s="23"/>
      <c r="DL47" s="235">
        <v>2353.33</v>
      </c>
      <c r="DM47" s="23">
        <v>706</v>
      </c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</row>
    <row r="48" spans="1:255" customFormat="1" ht="12.75" x14ac:dyDescent="0.2">
      <c r="A48" s="242" t="s">
        <v>448</v>
      </c>
      <c r="B48" s="241" t="s">
        <v>428</v>
      </c>
      <c r="C48" s="240" t="s">
        <v>429</v>
      </c>
      <c r="D48" s="239" t="s">
        <v>194</v>
      </c>
      <c r="E48" s="238">
        <v>3.0000000000000001E-3</v>
      </c>
      <c r="F48" s="237"/>
      <c r="G48" s="236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>
        <v>0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>
        <v>0</v>
      </c>
      <c r="DJ48" s="23"/>
      <c r="DK48" s="23"/>
      <c r="DL48" s="235">
        <v>0</v>
      </c>
      <c r="DM48" s="23">
        <v>0</v>
      </c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customFormat="1" ht="35.25" x14ac:dyDescent="0.2">
      <c r="A49" s="101">
        <v>5</v>
      </c>
      <c r="B49" s="109" t="s">
        <v>510</v>
      </c>
      <c r="C49" s="102" t="s">
        <v>509</v>
      </c>
      <c r="D49" s="103" t="s">
        <v>433</v>
      </c>
      <c r="E49" s="104">
        <v>2.8105000000000002</v>
      </c>
      <c r="F49" s="233"/>
      <c r="G49" s="108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</row>
    <row r="50" spans="1:255" customFormat="1" ht="24" x14ac:dyDescent="0.2">
      <c r="A50" s="249" t="s">
        <v>458</v>
      </c>
      <c r="B50" s="248" t="s">
        <v>530</v>
      </c>
      <c r="C50" s="247" t="s">
        <v>536</v>
      </c>
      <c r="D50" s="246" t="s">
        <v>434</v>
      </c>
      <c r="E50" s="245">
        <v>3719</v>
      </c>
      <c r="F50" s="244"/>
      <c r="G50" s="24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>
        <v>1968</v>
      </c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>
        <v>700.23</v>
      </c>
      <c r="DJ50" s="23"/>
      <c r="DK50" s="23"/>
      <c r="DL50" s="235">
        <v>700.23</v>
      </c>
      <c r="DM50" s="23">
        <v>1968</v>
      </c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customFormat="1" ht="24" x14ac:dyDescent="0.2">
      <c r="A51" s="242" t="s">
        <v>457</v>
      </c>
      <c r="B51" s="241" t="s">
        <v>506</v>
      </c>
      <c r="C51" s="240" t="s">
        <v>505</v>
      </c>
      <c r="D51" s="239" t="s">
        <v>504</v>
      </c>
      <c r="E51" s="238">
        <v>281.05</v>
      </c>
      <c r="F51" s="237"/>
      <c r="G51" s="236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>
        <v>252291</v>
      </c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>
        <v>89767.3</v>
      </c>
      <c r="DJ51" s="23"/>
      <c r="DK51" s="23"/>
      <c r="DL51" s="235">
        <v>89767.3</v>
      </c>
      <c r="DM51" s="23">
        <v>252291</v>
      </c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</row>
    <row r="52" spans="1:255" customFormat="1" ht="22.5" x14ac:dyDescent="0.2">
      <c r="A52" s="101">
        <v>6</v>
      </c>
      <c r="B52" s="109" t="s">
        <v>503</v>
      </c>
      <c r="C52" s="102" t="s">
        <v>502</v>
      </c>
      <c r="D52" s="103" t="s">
        <v>501</v>
      </c>
      <c r="E52" s="104">
        <v>11.782</v>
      </c>
      <c r="F52" s="233"/>
      <c r="G52" s="108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customFormat="1" ht="24.75" thickBot="1" x14ac:dyDescent="0.25">
      <c r="A53" s="242" t="s">
        <v>447</v>
      </c>
      <c r="B53" s="241" t="s">
        <v>500</v>
      </c>
      <c r="C53" s="240" t="s">
        <v>499</v>
      </c>
      <c r="D53" s="239" t="s">
        <v>434</v>
      </c>
      <c r="E53" s="238">
        <v>286.65606000000002</v>
      </c>
      <c r="F53" s="237"/>
      <c r="G53" s="236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>
        <v>29971</v>
      </c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>
        <v>2543.8000000000002</v>
      </c>
      <c r="DJ53" s="23"/>
      <c r="DK53" s="23"/>
      <c r="DL53" s="235">
        <v>2543.8000000000002</v>
      </c>
      <c r="DM53" s="23">
        <v>29971</v>
      </c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customFormat="1" ht="12.75" x14ac:dyDescent="0.2">
      <c r="A54" s="49"/>
      <c r="B54" s="49"/>
      <c r="C54" s="49"/>
      <c r="D54" s="49"/>
      <c r="E54" s="49"/>
      <c r="F54" s="49"/>
      <c r="G54" s="49"/>
    </row>
    <row r="55" spans="1:255" customFormat="1" ht="60" x14ac:dyDescent="0.2">
      <c r="A55" s="50"/>
      <c r="B55" s="50"/>
      <c r="C55" s="362" t="s">
        <v>535</v>
      </c>
      <c r="D55" s="362"/>
      <c r="E55" s="362"/>
      <c r="F55" s="362"/>
      <c r="G55" s="362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51" t="s">
        <v>535</v>
      </c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customFormat="1" ht="13.5" thickBot="1" x14ac:dyDescent="0.25"/>
    <row r="57" spans="1:255" customFormat="1" ht="23.25" x14ac:dyDescent="0.2">
      <c r="A57" s="52">
        <v>7</v>
      </c>
      <c r="B57" s="60" t="s">
        <v>534</v>
      </c>
      <c r="C57" s="53" t="s">
        <v>533</v>
      </c>
      <c r="D57" s="54" t="s">
        <v>468</v>
      </c>
      <c r="E57" s="55">
        <v>1.4E-2</v>
      </c>
      <c r="F57" s="232"/>
      <c r="G57" s="59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</row>
    <row r="58" spans="1:255" customFormat="1" ht="12.75" x14ac:dyDescent="0.2">
      <c r="A58" s="249" t="s">
        <v>446</v>
      </c>
      <c r="B58" s="248" t="s">
        <v>532</v>
      </c>
      <c r="C58" s="247" t="s">
        <v>531</v>
      </c>
      <c r="D58" s="246" t="s">
        <v>194</v>
      </c>
      <c r="E58" s="245">
        <v>1.6799999999999999E-2</v>
      </c>
      <c r="F58" s="244"/>
      <c r="G58" s="24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>
        <v>1</v>
      </c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>
        <v>71.430000000000007</v>
      </c>
      <c r="DJ58" s="23"/>
      <c r="DK58" s="23"/>
      <c r="DL58" s="235">
        <v>71.430000000000007</v>
      </c>
      <c r="DM58" s="23">
        <v>1</v>
      </c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customFormat="1" ht="12.75" x14ac:dyDescent="0.2">
      <c r="A59" s="249" t="s">
        <v>467</v>
      </c>
      <c r="B59" s="248" t="s">
        <v>530</v>
      </c>
      <c r="C59" s="247" t="s">
        <v>529</v>
      </c>
      <c r="D59" s="246" t="s">
        <v>434</v>
      </c>
      <c r="E59" s="245">
        <v>616</v>
      </c>
      <c r="F59" s="244"/>
      <c r="G59" s="24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>
        <v>699</v>
      </c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>
        <v>49928.57</v>
      </c>
      <c r="DJ59" s="23"/>
      <c r="DK59" s="23"/>
      <c r="DL59" s="235">
        <v>49928.57</v>
      </c>
      <c r="DM59" s="23">
        <v>699</v>
      </c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</row>
    <row r="60" spans="1:255" customFormat="1" ht="24" x14ac:dyDescent="0.2">
      <c r="A60" s="249" t="s">
        <v>470</v>
      </c>
      <c r="B60" s="248" t="s">
        <v>528</v>
      </c>
      <c r="C60" s="247" t="s">
        <v>527</v>
      </c>
      <c r="D60" s="246" t="s">
        <v>474</v>
      </c>
      <c r="E60" s="245">
        <v>15.4</v>
      </c>
      <c r="F60" s="244"/>
      <c r="G60" s="24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>
        <v>182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>
        <v>13000</v>
      </c>
      <c r="DJ60" s="23"/>
      <c r="DK60" s="23"/>
      <c r="DL60" s="235">
        <v>13000</v>
      </c>
      <c r="DM60" s="23">
        <v>182</v>
      </c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customFormat="1" ht="24" x14ac:dyDescent="0.2">
      <c r="A61" s="249" t="s">
        <v>526</v>
      </c>
      <c r="B61" s="248" t="s">
        <v>487</v>
      </c>
      <c r="C61" s="247" t="s">
        <v>525</v>
      </c>
      <c r="D61" s="246" t="s">
        <v>474</v>
      </c>
      <c r="E61" s="245">
        <v>15.4</v>
      </c>
      <c r="F61" s="244"/>
      <c r="G61" s="24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>
        <v>873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>
        <v>62357.14</v>
      </c>
      <c r="DJ61" s="23"/>
      <c r="DK61" s="23"/>
      <c r="DL61" s="235">
        <v>62357.14</v>
      </c>
      <c r="DM61" s="23">
        <v>873</v>
      </c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customFormat="1" ht="12.75" x14ac:dyDescent="0.2">
      <c r="A62" s="249" t="s">
        <v>524</v>
      </c>
      <c r="B62" s="248" t="s">
        <v>523</v>
      </c>
      <c r="C62" s="247" t="s">
        <v>522</v>
      </c>
      <c r="D62" s="246" t="s">
        <v>431</v>
      </c>
      <c r="E62" s="245">
        <v>5.0400000000000002E-3</v>
      </c>
      <c r="F62" s="244"/>
      <c r="G62" s="24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>
        <v>0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>
        <v>0</v>
      </c>
      <c r="DJ62" s="23"/>
      <c r="DK62" s="23"/>
      <c r="DL62" s="235">
        <v>0</v>
      </c>
      <c r="DM62" s="23">
        <v>0</v>
      </c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</row>
    <row r="63" spans="1:255" customFormat="1" ht="24" x14ac:dyDescent="0.2">
      <c r="A63" s="242" t="s">
        <v>521</v>
      </c>
      <c r="B63" s="241" t="s">
        <v>520</v>
      </c>
      <c r="C63" s="240" t="s">
        <v>519</v>
      </c>
      <c r="D63" s="239" t="s">
        <v>434</v>
      </c>
      <c r="E63" s="238">
        <v>308</v>
      </c>
      <c r="F63" s="237"/>
      <c r="G63" s="236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>
        <v>1677</v>
      </c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>
        <v>119785.71</v>
      </c>
      <c r="DJ63" s="23"/>
      <c r="DK63" s="23"/>
      <c r="DL63" s="235">
        <v>119785.71</v>
      </c>
      <c r="DM63" s="23">
        <v>1677</v>
      </c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s="251" customFormat="1" ht="48" x14ac:dyDescent="0.2">
      <c r="A64" s="253">
        <v>8</v>
      </c>
      <c r="B64" s="254" t="s">
        <v>498</v>
      </c>
      <c r="C64" s="255" t="s">
        <v>497</v>
      </c>
      <c r="D64" s="256" t="s">
        <v>496</v>
      </c>
      <c r="E64" s="257">
        <v>1.24</v>
      </c>
      <c r="F64" s="258"/>
      <c r="G64" s="259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2"/>
      <c r="BG64" s="252"/>
      <c r="BH64" s="252"/>
      <c r="BI64" s="252"/>
      <c r="BJ64" s="252"/>
      <c r="BK64" s="252"/>
      <c r="BL64" s="252"/>
      <c r="BM64" s="252"/>
      <c r="BN64" s="252"/>
      <c r="BO64" s="252"/>
      <c r="BP64" s="252"/>
      <c r="BQ64" s="252"/>
      <c r="BR64" s="252"/>
      <c r="BS64" s="252"/>
      <c r="BT64" s="252"/>
      <c r="BU64" s="252"/>
      <c r="BV64" s="252"/>
      <c r="BW64" s="252"/>
      <c r="BX64" s="252"/>
      <c r="BY64" s="252"/>
      <c r="BZ64" s="252"/>
      <c r="CA64" s="252"/>
      <c r="CB64" s="252"/>
      <c r="CC64" s="252"/>
      <c r="CD64" s="252"/>
      <c r="CE64" s="252"/>
      <c r="CF64" s="252"/>
      <c r="CG64" s="252"/>
      <c r="CH64" s="252"/>
      <c r="CI64" s="252"/>
      <c r="CJ64" s="252"/>
      <c r="CK64" s="252"/>
      <c r="CL64" s="252"/>
      <c r="CM64" s="252"/>
      <c r="CN64" s="252"/>
      <c r="CO64" s="252"/>
      <c r="CP64" s="252"/>
      <c r="CQ64" s="252"/>
      <c r="CR64" s="252"/>
      <c r="CS64" s="252"/>
      <c r="CT64" s="252"/>
      <c r="CU64" s="252"/>
      <c r="CV64" s="252"/>
      <c r="CW64" s="252"/>
      <c r="CX64" s="252"/>
      <c r="CY64" s="252"/>
      <c r="CZ64" s="252"/>
      <c r="DA64" s="252"/>
      <c r="DB64" s="252"/>
      <c r="DC64" s="252"/>
      <c r="DD64" s="252"/>
      <c r="DE64" s="252"/>
      <c r="DF64" s="252"/>
      <c r="DG64" s="252"/>
      <c r="DH64" s="252"/>
      <c r="DI64" s="252"/>
      <c r="DJ64" s="252"/>
      <c r="DK64" s="252"/>
      <c r="DL64" s="252"/>
      <c r="DM64" s="252"/>
      <c r="DN64" s="252"/>
      <c r="DO64" s="252"/>
      <c r="DP64" s="252"/>
      <c r="DQ64" s="252"/>
      <c r="DR64" s="252"/>
      <c r="DS64" s="252"/>
      <c r="DT64" s="252"/>
      <c r="DU64" s="252"/>
      <c r="DV64" s="252"/>
      <c r="DW64" s="252"/>
      <c r="DX64" s="252"/>
      <c r="DY64" s="252"/>
      <c r="DZ64" s="252"/>
      <c r="EA64" s="252"/>
      <c r="EB64" s="252"/>
      <c r="EC64" s="252"/>
      <c r="ED64" s="252"/>
      <c r="EE64" s="252"/>
      <c r="EF64" s="252"/>
      <c r="EG64" s="252"/>
      <c r="EH64" s="252"/>
      <c r="EI64" s="252"/>
      <c r="EJ64" s="252"/>
      <c r="EK64" s="252"/>
      <c r="EL64" s="252"/>
      <c r="EM64" s="252"/>
      <c r="EN64" s="252"/>
      <c r="EO64" s="252"/>
      <c r="EP64" s="252"/>
      <c r="EQ64" s="252"/>
      <c r="ER64" s="252"/>
      <c r="ES64" s="252"/>
      <c r="ET64" s="252"/>
      <c r="EU64" s="252"/>
      <c r="EV64" s="252"/>
      <c r="EW64" s="252"/>
      <c r="EX64" s="252"/>
      <c r="EY64" s="252"/>
      <c r="EZ64" s="252"/>
      <c r="FA64" s="252"/>
      <c r="FB64" s="252"/>
      <c r="FC64" s="252"/>
      <c r="FD64" s="252"/>
      <c r="FE64" s="252"/>
      <c r="FF64" s="252"/>
      <c r="FG64" s="252"/>
      <c r="FH64" s="252"/>
      <c r="FI64" s="252"/>
      <c r="FJ64" s="252"/>
      <c r="FK64" s="252"/>
      <c r="FL64" s="252"/>
      <c r="FM64" s="252"/>
      <c r="FN64" s="252"/>
      <c r="FO64" s="252"/>
      <c r="FP64" s="252"/>
      <c r="FQ64" s="252"/>
      <c r="FR64" s="252"/>
      <c r="FS64" s="252"/>
      <c r="FT64" s="252"/>
      <c r="FU64" s="252"/>
      <c r="FV64" s="252"/>
      <c r="FW64" s="252"/>
      <c r="FX64" s="252"/>
      <c r="FY64" s="252"/>
      <c r="FZ64" s="252"/>
      <c r="GA64" s="252"/>
      <c r="GB64" s="252"/>
      <c r="GC64" s="252"/>
      <c r="GD64" s="252"/>
      <c r="GE64" s="252"/>
      <c r="GF64" s="252"/>
      <c r="GG64" s="252"/>
      <c r="GH64" s="252"/>
      <c r="GI64" s="252"/>
      <c r="GJ64" s="252"/>
      <c r="GK64" s="252"/>
      <c r="GL64" s="252"/>
      <c r="GM64" s="252"/>
      <c r="GN64" s="252"/>
      <c r="GO64" s="252"/>
      <c r="GP64" s="252"/>
      <c r="GQ64" s="252"/>
      <c r="GR64" s="252"/>
      <c r="GS64" s="252"/>
      <c r="GT64" s="252"/>
      <c r="GU64" s="252"/>
      <c r="GV64" s="252"/>
      <c r="GW64" s="252"/>
      <c r="GX64" s="252"/>
      <c r="GY64" s="252"/>
      <c r="GZ64" s="252"/>
      <c r="HA64" s="252"/>
      <c r="HB64" s="252"/>
      <c r="HC64" s="252"/>
      <c r="HD64" s="252"/>
      <c r="HE64" s="252"/>
      <c r="HF64" s="252"/>
      <c r="HG64" s="252"/>
      <c r="HH64" s="252"/>
      <c r="HI64" s="252"/>
      <c r="HJ64" s="252"/>
      <c r="HK64" s="252"/>
      <c r="HL64" s="252"/>
      <c r="HM64" s="252"/>
      <c r="HN64" s="252"/>
      <c r="HO64" s="252"/>
      <c r="HP64" s="252"/>
      <c r="HQ64" s="252"/>
      <c r="HR64" s="252"/>
      <c r="HS64" s="252"/>
      <c r="HT64" s="252"/>
      <c r="HU64" s="252"/>
      <c r="HV64" s="252"/>
      <c r="HW64" s="252"/>
      <c r="HX64" s="252"/>
      <c r="HY64" s="252"/>
      <c r="HZ64" s="252"/>
      <c r="IA64" s="252"/>
      <c r="IB64" s="252"/>
      <c r="IC64" s="252"/>
      <c r="ID64" s="252"/>
      <c r="IE64" s="252"/>
      <c r="IF64" s="252"/>
      <c r="IG64" s="252"/>
      <c r="IH64" s="252"/>
      <c r="II64" s="252"/>
      <c r="IJ64" s="252"/>
      <c r="IK64" s="252"/>
      <c r="IL64" s="252"/>
      <c r="IM64" s="252"/>
      <c r="IN64" s="252"/>
      <c r="IO64" s="252"/>
      <c r="IP64" s="252"/>
      <c r="IQ64" s="252"/>
      <c r="IR64" s="252"/>
      <c r="IS64" s="252"/>
      <c r="IT64" s="252"/>
      <c r="IU64" s="252"/>
    </row>
    <row r="65" spans="1:255" customFormat="1" ht="24" x14ac:dyDescent="0.2">
      <c r="A65" s="249" t="s">
        <v>456</v>
      </c>
      <c r="B65" s="248" t="s">
        <v>495</v>
      </c>
      <c r="C65" s="247" t="s">
        <v>494</v>
      </c>
      <c r="D65" s="246" t="s">
        <v>431</v>
      </c>
      <c r="E65" s="245">
        <v>7.04</v>
      </c>
      <c r="F65" s="244"/>
      <c r="G65" s="24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>
        <v>947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>
        <v>763.71</v>
      </c>
      <c r="DJ65" s="23"/>
      <c r="DK65" s="23"/>
      <c r="DL65" s="235">
        <v>763.71</v>
      </c>
      <c r="DM65" s="23">
        <v>947</v>
      </c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customFormat="1" ht="36" x14ac:dyDescent="0.2">
      <c r="A66" s="249" t="s">
        <v>445</v>
      </c>
      <c r="B66" s="248" t="s">
        <v>493</v>
      </c>
      <c r="C66" s="247" t="s">
        <v>492</v>
      </c>
      <c r="D66" s="246" t="s">
        <v>431</v>
      </c>
      <c r="E66" s="245">
        <v>21.05</v>
      </c>
      <c r="F66" s="244"/>
      <c r="G66" s="24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>
        <v>2699</v>
      </c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>
        <v>2176.61</v>
      </c>
      <c r="DJ66" s="23"/>
      <c r="DK66" s="23"/>
      <c r="DL66" s="235">
        <v>2176.61</v>
      </c>
      <c r="DM66" s="23">
        <v>2699</v>
      </c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customFormat="1" ht="24" x14ac:dyDescent="0.2">
      <c r="A67" s="249" t="s">
        <v>444</v>
      </c>
      <c r="B67" s="248" t="s">
        <v>491</v>
      </c>
      <c r="C67" s="247" t="s">
        <v>490</v>
      </c>
      <c r="D67" s="246" t="s">
        <v>434</v>
      </c>
      <c r="E67" s="245">
        <v>71.374399999999994</v>
      </c>
      <c r="F67" s="244"/>
      <c r="G67" s="24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>
        <v>15405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>
        <v>12423.39</v>
      </c>
      <c r="DJ67" s="23"/>
      <c r="DK67" s="23"/>
      <c r="DL67" s="235">
        <v>12423.39</v>
      </c>
      <c r="DM67" s="23">
        <v>15405</v>
      </c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customFormat="1" ht="12.75" x14ac:dyDescent="0.2">
      <c r="A68" s="249" t="s">
        <v>443</v>
      </c>
      <c r="B68" s="248" t="s">
        <v>489</v>
      </c>
      <c r="C68" s="247" t="s">
        <v>488</v>
      </c>
      <c r="D68" s="246" t="s">
        <v>476</v>
      </c>
      <c r="E68" s="245">
        <v>161.91999999999999</v>
      </c>
      <c r="F68" s="244"/>
      <c r="G68" s="24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>
        <v>1873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>
        <v>1510.48</v>
      </c>
      <c r="DJ68" s="23"/>
      <c r="DK68" s="23"/>
      <c r="DL68" s="235">
        <v>1510.48</v>
      </c>
      <c r="DM68" s="23">
        <v>1873</v>
      </c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customFormat="1" ht="24" x14ac:dyDescent="0.2">
      <c r="A69" s="249" t="s">
        <v>518</v>
      </c>
      <c r="B69" s="248" t="s">
        <v>487</v>
      </c>
      <c r="C69" s="247" t="s">
        <v>486</v>
      </c>
      <c r="D69" s="246" t="s">
        <v>474</v>
      </c>
      <c r="E69" s="245">
        <v>15</v>
      </c>
      <c r="F69" s="244"/>
      <c r="G69" s="24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>
        <v>1568</v>
      </c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>
        <v>1264.52</v>
      </c>
      <c r="DJ69" s="23"/>
      <c r="DK69" s="23"/>
      <c r="DL69" s="235">
        <v>1264.52</v>
      </c>
      <c r="DM69" s="23">
        <v>1568</v>
      </c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customFormat="1" ht="12.75" x14ac:dyDescent="0.2">
      <c r="A70" s="249" t="s">
        <v>517</v>
      </c>
      <c r="B70" s="248" t="s">
        <v>484</v>
      </c>
      <c r="C70" s="247" t="s">
        <v>483</v>
      </c>
      <c r="D70" s="246" t="s">
        <v>434</v>
      </c>
      <c r="E70" s="245">
        <v>992</v>
      </c>
      <c r="F70" s="244"/>
      <c r="G70" s="24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>
        <v>3300</v>
      </c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>
        <v>2661.29</v>
      </c>
      <c r="DJ70" s="23"/>
      <c r="DK70" s="23"/>
      <c r="DL70" s="235">
        <v>2661.29</v>
      </c>
      <c r="DM70" s="23">
        <v>3300</v>
      </c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customFormat="1" ht="24" x14ac:dyDescent="0.2">
      <c r="A71" s="249" t="s">
        <v>516</v>
      </c>
      <c r="B71" s="248" t="s">
        <v>515</v>
      </c>
      <c r="C71" s="247" t="s">
        <v>514</v>
      </c>
      <c r="D71" s="246" t="s">
        <v>435</v>
      </c>
      <c r="E71" s="245">
        <v>21.000000000000004</v>
      </c>
      <c r="F71" s="244"/>
      <c r="G71" s="24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>
        <v>528807</v>
      </c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>
        <v>426457.26</v>
      </c>
      <c r="DJ71" s="23"/>
      <c r="DK71" s="23"/>
      <c r="DL71" s="235">
        <v>426457.26</v>
      </c>
      <c r="DM71" s="23">
        <v>528807</v>
      </c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</row>
    <row r="72" spans="1:255" customFormat="1" ht="24" x14ac:dyDescent="0.2">
      <c r="A72" s="242" t="s">
        <v>513</v>
      </c>
      <c r="B72" s="241" t="s">
        <v>512</v>
      </c>
      <c r="C72" s="240" t="s">
        <v>511</v>
      </c>
      <c r="D72" s="239" t="s">
        <v>435</v>
      </c>
      <c r="E72" s="238">
        <v>4</v>
      </c>
      <c r="F72" s="237"/>
      <c r="G72" s="236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>
        <v>108411</v>
      </c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>
        <v>87428.23</v>
      </c>
      <c r="DJ72" s="23"/>
      <c r="DK72" s="23"/>
      <c r="DL72" s="235">
        <v>87428.23</v>
      </c>
      <c r="DM72" s="23">
        <v>108411</v>
      </c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customFormat="1" ht="35.25" x14ac:dyDescent="0.2">
      <c r="A73" s="101">
        <v>9</v>
      </c>
      <c r="B73" s="109" t="s">
        <v>510</v>
      </c>
      <c r="C73" s="102" t="s">
        <v>509</v>
      </c>
      <c r="D73" s="103" t="s">
        <v>433</v>
      </c>
      <c r="E73" s="104">
        <v>0.29699999999999999</v>
      </c>
      <c r="F73" s="233"/>
      <c r="G73" s="108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</row>
    <row r="74" spans="1:255" customFormat="1" ht="24" x14ac:dyDescent="0.2">
      <c r="A74" s="249" t="s">
        <v>455</v>
      </c>
      <c r="B74" s="248" t="s">
        <v>508</v>
      </c>
      <c r="C74" s="247" t="s">
        <v>507</v>
      </c>
      <c r="D74" s="246" t="s">
        <v>474</v>
      </c>
      <c r="E74" s="245">
        <v>21.099999999999998</v>
      </c>
      <c r="F74" s="244"/>
      <c r="G74" s="24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>
        <v>61</v>
      </c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>
        <v>205.39</v>
      </c>
      <c r="DJ74" s="23"/>
      <c r="DK74" s="23"/>
      <c r="DL74" s="235">
        <v>205.39</v>
      </c>
      <c r="DM74" s="23">
        <v>61</v>
      </c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customFormat="1" ht="24" x14ac:dyDescent="0.2">
      <c r="A75" s="242" t="s">
        <v>454</v>
      </c>
      <c r="B75" s="241" t="s">
        <v>506</v>
      </c>
      <c r="C75" s="240" t="s">
        <v>505</v>
      </c>
      <c r="D75" s="239" t="s">
        <v>504</v>
      </c>
      <c r="E75" s="238">
        <v>29.7</v>
      </c>
      <c r="F75" s="237"/>
      <c r="G75" s="236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>
        <v>26661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>
        <v>89767.679999999993</v>
      </c>
      <c r="DJ75" s="23"/>
      <c r="DK75" s="23"/>
      <c r="DL75" s="235">
        <v>89767.679999999993</v>
      </c>
      <c r="DM75" s="23">
        <v>26661</v>
      </c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customFormat="1" ht="22.5" x14ac:dyDescent="0.2">
      <c r="A76" s="101">
        <v>10</v>
      </c>
      <c r="B76" s="109" t="s">
        <v>503</v>
      </c>
      <c r="C76" s="102" t="s">
        <v>502</v>
      </c>
      <c r="D76" s="103" t="s">
        <v>501</v>
      </c>
      <c r="E76" s="104">
        <v>0.874</v>
      </c>
      <c r="F76" s="233"/>
      <c r="G76" s="108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customFormat="1" ht="24" x14ac:dyDescent="0.2">
      <c r="A77" s="242" t="s">
        <v>442</v>
      </c>
      <c r="B77" s="241" t="s">
        <v>500</v>
      </c>
      <c r="C77" s="240" t="s">
        <v>499</v>
      </c>
      <c r="D77" s="239" t="s">
        <v>434</v>
      </c>
      <c r="E77" s="238">
        <v>21.264420000000001</v>
      </c>
      <c r="F77" s="237"/>
      <c r="G77" s="236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>
        <v>2223</v>
      </c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>
        <v>2543.48</v>
      </c>
      <c r="DJ77" s="23"/>
      <c r="DK77" s="23"/>
      <c r="DL77" s="235">
        <v>2543.48</v>
      </c>
      <c r="DM77" s="23">
        <v>2223</v>
      </c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customFormat="1" ht="48" x14ac:dyDescent="0.2">
      <c r="A78" s="101">
        <v>11</v>
      </c>
      <c r="B78" s="109" t="s">
        <v>498</v>
      </c>
      <c r="C78" s="102" t="s">
        <v>497</v>
      </c>
      <c r="D78" s="103" t="s">
        <v>496</v>
      </c>
      <c r="E78" s="104">
        <v>4.5199999999999997E-2</v>
      </c>
      <c r="F78" s="233"/>
      <c r="G78" s="108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customFormat="1" ht="24" x14ac:dyDescent="0.2">
      <c r="A79" s="249" t="s">
        <v>441</v>
      </c>
      <c r="B79" s="248" t="s">
        <v>495</v>
      </c>
      <c r="C79" s="247" t="s">
        <v>494</v>
      </c>
      <c r="D79" s="246" t="s">
        <v>431</v>
      </c>
      <c r="E79" s="245">
        <v>0.54</v>
      </c>
      <c r="F79" s="244"/>
      <c r="G79" s="24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>
        <v>73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>
        <v>1615.04</v>
      </c>
      <c r="DJ79" s="23"/>
      <c r="DK79" s="23"/>
      <c r="DL79" s="235">
        <v>1615.04</v>
      </c>
      <c r="DM79" s="23">
        <v>73</v>
      </c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</row>
    <row r="80" spans="1:255" customFormat="1" ht="36" x14ac:dyDescent="0.2">
      <c r="A80" s="249" t="s">
        <v>440</v>
      </c>
      <c r="B80" s="248" t="s">
        <v>493</v>
      </c>
      <c r="C80" s="247" t="s">
        <v>492</v>
      </c>
      <c r="D80" s="246" t="s">
        <v>431</v>
      </c>
      <c r="E80" s="245">
        <v>0.81</v>
      </c>
      <c r="F80" s="244"/>
      <c r="G80" s="24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>
        <v>104</v>
      </c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>
        <v>2300.88</v>
      </c>
      <c r="DJ80" s="23"/>
      <c r="DK80" s="23"/>
      <c r="DL80" s="235">
        <v>2300.88</v>
      </c>
      <c r="DM80" s="23">
        <v>104</v>
      </c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</row>
    <row r="81" spans="1:255" customFormat="1" ht="24" x14ac:dyDescent="0.2">
      <c r="A81" s="249" t="s">
        <v>439</v>
      </c>
      <c r="B81" s="248" t="s">
        <v>491</v>
      </c>
      <c r="C81" s="247" t="s">
        <v>490</v>
      </c>
      <c r="D81" s="246" t="s">
        <v>434</v>
      </c>
      <c r="E81" s="245">
        <v>2.601712</v>
      </c>
      <c r="F81" s="244"/>
      <c r="G81" s="24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>
        <v>562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>
        <v>12433.63</v>
      </c>
      <c r="DJ81" s="23"/>
      <c r="DK81" s="23"/>
      <c r="DL81" s="235">
        <v>12433.63</v>
      </c>
      <c r="DM81" s="23">
        <v>562</v>
      </c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</row>
    <row r="82" spans="1:255" customFormat="1" ht="12.75" x14ac:dyDescent="0.2">
      <c r="A82" s="249" t="s">
        <v>466</v>
      </c>
      <c r="B82" s="248" t="s">
        <v>489</v>
      </c>
      <c r="C82" s="247" t="s">
        <v>488</v>
      </c>
      <c r="D82" s="246" t="s">
        <v>476</v>
      </c>
      <c r="E82" s="245">
        <v>4.7</v>
      </c>
      <c r="F82" s="244"/>
      <c r="G82" s="24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>
        <v>54</v>
      </c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>
        <v>1194.69</v>
      </c>
      <c r="DJ82" s="23"/>
      <c r="DK82" s="23"/>
      <c r="DL82" s="235">
        <v>1194.69</v>
      </c>
      <c r="DM82" s="23">
        <v>54</v>
      </c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</row>
    <row r="83" spans="1:255" customFormat="1" ht="24" x14ac:dyDescent="0.2">
      <c r="A83" s="249" t="s">
        <v>465</v>
      </c>
      <c r="B83" s="248" t="s">
        <v>487</v>
      </c>
      <c r="C83" s="247" t="s">
        <v>486</v>
      </c>
      <c r="D83" s="246" t="s">
        <v>474</v>
      </c>
      <c r="E83" s="245">
        <v>5.9999999999999991</v>
      </c>
      <c r="F83" s="244"/>
      <c r="G83" s="24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>
        <v>627</v>
      </c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>
        <v>13871.68</v>
      </c>
      <c r="DJ83" s="23"/>
      <c r="DK83" s="23"/>
      <c r="DL83" s="235">
        <v>13871.68</v>
      </c>
      <c r="DM83" s="23">
        <v>627</v>
      </c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</row>
    <row r="84" spans="1:255" customFormat="1" ht="12.75" x14ac:dyDescent="0.2">
      <c r="A84" s="249" t="s">
        <v>485</v>
      </c>
      <c r="B84" s="248" t="s">
        <v>484</v>
      </c>
      <c r="C84" s="247" t="s">
        <v>483</v>
      </c>
      <c r="D84" s="246" t="s">
        <v>434</v>
      </c>
      <c r="E84" s="245">
        <v>36.159999999999997</v>
      </c>
      <c r="F84" s="244"/>
      <c r="G84" s="24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>
        <v>120</v>
      </c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>
        <v>2654.87</v>
      </c>
      <c r="DJ84" s="23"/>
      <c r="DK84" s="23"/>
      <c r="DL84" s="235">
        <v>2654.87</v>
      </c>
      <c r="DM84" s="23">
        <v>120</v>
      </c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</row>
    <row r="85" spans="1:255" customFormat="1" ht="24" x14ac:dyDescent="0.2">
      <c r="A85" s="249" t="s">
        <v>482</v>
      </c>
      <c r="B85" s="248" t="s">
        <v>481</v>
      </c>
      <c r="C85" s="247" t="s">
        <v>480</v>
      </c>
      <c r="D85" s="246" t="s">
        <v>435</v>
      </c>
      <c r="E85" s="245">
        <v>0.99999999999999989</v>
      </c>
      <c r="F85" s="244"/>
      <c r="G85" s="24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>
        <v>24683</v>
      </c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>
        <v>546084.06999999995</v>
      </c>
      <c r="DJ85" s="23"/>
      <c r="DK85" s="23"/>
      <c r="DL85" s="235">
        <v>546084.06999999995</v>
      </c>
      <c r="DM85" s="23">
        <v>24683</v>
      </c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</row>
    <row r="86" spans="1:255" customFormat="1" ht="24.75" thickBot="1" x14ac:dyDescent="0.25">
      <c r="A86" s="249" t="s">
        <v>479</v>
      </c>
      <c r="B86" s="248" t="s">
        <v>478</v>
      </c>
      <c r="C86" s="247" t="s">
        <v>477</v>
      </c>
      <c r="D86" s="246" t="s">
        <v>476</v>
      </c>
      <c r="E86" s="245">
        <v>3.16</v>
      </c>
      <c r="F86" s="244"/>
      <c r="G86" s="24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>
        <v>7559</v>
      </c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>
        <v>167234.51</v>
      </c>
      <c r="DJ86" s="23"/>
      <c r="DK86" s="23"/>
      <c r="DL86" s="235">
        <v>167234.51</v>
      </c>
      <c r="DM86" s="23">
        <v>7559</v>
      </c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</row>
    <row r="87" spans="1:255" customFormat="1" ht="28.5" customHeight="1" x14ac:dyDescent="0.2">
      <c r="A87" s="49"/>
      <c r="B87" s="49"/>
      <c r="C87" s="250" t="s">
        <v>607</v>
      </c>
      <c r="D87" s="250"/>
      <c r="E87" s="250"/>
      <c r="F87" s="250"/>
      <c r="G87" s="49"/>
    </row>
    <row r="88" spans="1:255" customFormat="1" ht="28.5" customHeight="1" x14ac:dyDescent="0.2">
      <c r="A88" s="50"/>
      <c r="B88" s="50"/>
      <c r="C88" s="362" t="s">
        <v>606</v>
      </c>
      <c r="D88" s="362"/>
      <c r="E88" s="362"/>
      <c r="F88" s="362"/>
      <c r="G88" s="362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51" t="str">
        <f>C88</f>
        <v>Квартиры типа "Комфорт" №№104, 130, 166, 89, 152, 27, 70, 117, 150, 53, 43, 11, 24, 28, 35, 37, 49, 57, 58, 68, 77, 100, 109, 123, 127, 128, 131, 144, 146, 147, 160.</v>
      </c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</row>
    <row r="89" spans="1:255" customFormat="1" ht="18.75" customHeight="1" x14ac:dyDescent="0.2">
      <c r="A89" s="376" t="s">
        <v>437</v>
      </c>
      <c r="B89" s="376"/>
      <c r="C89" s="377" t="s">
        <v>605</v>
      </c>
      <c r="D89" s="377"/>
      <c r="E89" s="377"/>
      <c r="F89" s="377"/>
      <c r="G89" s="377"/>
      <c r="BX89" s="234" t="str">
        <f>C89</f>
        <v xml:space="preserve"> Внутренняя отделка лоджии</v>
      </c>
      <c r="IU89" s="23"/>
    </row>
    <row r="90" spans="1:255" customFormat="1" ht="28.5" customHeight="1" thickBot="1" x14ac:dyDescent="0.25">
      <c r="A90" s="376" t="s">
        <v>604</v>
      </c>
      <c r="B90" s="376"/>
      <c r="C90" s="377" t="s">
        <v>603</v>
      </c>
      <c r="D90" s="377"/>
      <c r="E90" s="377"/>
      <c r="F90" s="377"/>
      <c r="G90" s="377"/>
      <c r="BX90" s="234" t="str">
        <f>C90</f>
        <v xml:space="preserve"> Выполняемые работы</v>
      </c>
      <c r="IU90" s="23"/>
    </row>
    <row r="91" spans="1:255" customFormat="1" ht="28.5" customHeight="1" x14ac:dyDescent="0.2">
      <c r="A91" s="52">
        <v>1</v>
      </c>
      <c r="B91" s="60" t="s">
        <v>602</v>
      </c>
      <c r="C91" s="53" t="s">
        <v>601</v>
      </c>
      <c r="D91" s="54" t="s">
        <v>581</v>
      </c>
      <c r="E91" s="55">
        <v>6.4000000000000001E-2</v>
      </c>
      <c r="F91" s="232"/>
      <c r="G91" s="59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</row>
    <row r="92" spans="1:255" customFormat="1" ht="28.5" customHeight="1" x14ac:dyDescent="0.2">
      <c r="A92" s="249" t="s">
        <v>475</v>
      </c>
      <c r="B92" s="248" t="s">
        <v>491</v>
      </c>
      <c r="C92" s="247" t="s">
        <v>490</v>
      </c>
      <c r="D92" s="246" t="s">
        <v>434</v>
      </c>
      <c r="E92" s="245">
        <v>0.63231999999999999</v>
      </c>
      <c r="F92" s="244"/>
      <c r="G92" s="24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 t="e">
        <f>[1]Source!P37</f>
        <v>#REF!</v>
      </c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 t="e">
        <f>IF(E91&gt;0,ROUND([1]Source!P37/E91,2),0)</f>
        <v>#REF!</v>
      </c>
      <c r="DJ92" s="23"/>
      <c r="DK92" s="23"/>
      <c r="DL92" s="235">
        <f>F92</f>
        <v>0</v>
      </c>
      <c r="DM92" s="23" t="e">
        <f>[1]Source!P37</f>
        <v>#REF!</v>
      </c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</row>
    <row r="93" spans="1:255" customFormat="1" ht="28.5" customHeight="1" x14ac:dyDescent="0.2">
      <c r="A93" s="249" t="s">
        <v>462</v>
      </c>
      <c r="B93" s="248" t="s">
        <v>600</v>
      </c>
      <c r="C93" s="247" t="s">
        <v>599</v>
      </c>
      <c r="D93" s="246" t="s">
        <v>476</v>
      </c>
      <c r="E93" s="245">
        <v>6.4</v>
      </c>
      <c r="F93" s="244"/>
      <c r="G93" s="24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 t="e">
        <f>[1]Source!P39</f>
        <v>#REF!</v>
      </c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 t="e">
        <f>IF(E91&gt;0,ROUND([1]Source!P39/E91,2),0)</f>
        <v>#REF!</v>
      </c>
      <c r="DJ93" s="23"/>
      <c r="DK93" s="23"/>
      <c r="DL93" s="235">
        <f>F93</f>
        <v>0</v>
      </c>
      <c r="DM93" s="23" t="e">
        <f>[1]Source!P39</f>
        <v>#REF!</v>
      </c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</row>
    <row r="94" spans="1:255" customFormat="1" ht="28.5" customHeight="1" x14ac:dyDescent="0.2">
      <c r="A94" s="249" t="s">
        <v>461</v>
      </c>
      <c r="B94" s="248" t="s">
        <v>484</v>
      </c>
      <c r="C94" s="247" t="s">
        <v>483</v>
      </c>
      <c r="D94" s="246" t="s">
        <v>434</v>
      </c>
      <c r="E94" s="245">
        <v>25.6</v>
      </c>
      <c r="F94" s="244"/>
      <c r="G94" s="24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 t="e">
        <f>[1]Source!P41</f>
        <v>#REF!</v>
      </c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 t="e">
        <f>IF(E91&gt;0,ROUND([1]Source!P41/E91,2),0)</f>
        <v>#REF!</v>
      </c>
      <c r="DJ94" s="23"/>
      <c r="DK94" s="23"/>
      <c r="DL94" s="235">
        <f>F94</f>
        <v>0</v>
      </c>
      <c r="DM94" s="23" t="e">
        <f>[1]Source!P41</f>
        <v>#REF!</v>
      </c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</row>
    <row r="95" spans="1:255" customFormat="1" ht="28.5" customHeight="1" x14ac:dyDescent="0.2">
      <c r="A95" s="242" t="s">
        <v>575</v>
      </c>
      <c r="B95" s="241" t="s">
        <v>598</v>
      </c>
      <c r="C95" s="240" t="s">
        <v>597</v>
      </c>
      <c r="D95" s="239" t="s">
        <v>435</v>
      </c>
      <c r="E95" s="238">
        <v>2</v>
      </c>
      <c r="F95" s="237"/>
      <c r="G95" s="236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 t="e">
        <f>[1]Source!P43</f>
        <v>#REF!</v>
      </c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 t="e">
        <f>IF(E91&gt;0,ROUND([1]Source!P43/E91,2),0)</f>
        <v>#REF!</v>
      </c>
      <c r="DJ95" s="23"/>
      <c r="DK95" s="23"/>
      <c r="DL95" s="235">
        <f>F95</f>
        <v>0</v>
      </c>
      <c r="DM95" s="23" t="e">
        <f>[1]Source!P43</f>
        <v>#REF!</v>
      </c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</row>
    <row r="96" spans="1:255" customFormat="1" ht="28.5" customHeight="1" x14ac:dyDescent="0.2">
      <c r="A96" s="101">
        <v>2</v>
      </c>
      <c r="B96" s="109" t="s">
        <v>596</v>
      </c>
      <c r="C96" s="102" t="s">
        <v>595</v>
      </c>
      <c r="D96" s="103" t="s">
        <v>594</v>
      </c>
      <c r="E96" s="104">
        <v>0.19420000000000001</v>
      </c>
      <c r="F96" s="233"/>
      <c r="G96" s="108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</row>
    <row r="97" spans="1:255" customFormat="1" ht="28.5" customHeight="1" x14ac:dyDescent="0.2">
      <c r="A97" s="249" t="s">
        <v>453</v>
      </c>
      <c r="B97" s="248" t="s">
        <v>464</v>
      </c>
      <c r="C97" s="247" t="s">
        <v>463</v>
      </c>
      <c r="D97" s="246" t="s">
        <v>431</v>
      </c>
      <c r="E97" s="245">
        <v>3.884E-2</v>
      </c>
      <c r="F97" s="244"/>
      <c r="G97" s="24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 t="e">
        <f>[1]Source!P47</f>
        <v>#REF!</v>
      </c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 t="e">
        <f>IF(E96&gt;0,ROUND([1]Source!P47/E96,2),0)</f>
        <v>#REF!</v>
      </c>
      <c r="DJ97" s="23"/>
      <c r="DK97" s="23"/>
      <c r="DL97" s="235">
        <f>F97</f>
        <v>0</v>
      </c>
      <c r="DM97" s="23" t="e">
        <f>[1]Source!P47</f>
        <v>#REF!</v>
      </c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</row>
    <row r="98" spans="1:255" customFormat="1" ht="28.5" customHeight="1" x14ac:dyDescent="0.2">
      <c r="A98" s="249" t="s">
        <v>452</v>
      </c>
      <c r="B98" s="248" t="s">
        <v>593</v>
      </c>
      <c r="C98" s="247" t="s">
        <v>592</v>
      </c>
      <c r="D98" s="246" t="s">
        <v>591</v>
      </c>
      <c r="E98" s="245">
        <v>2.0390999999999999E-2</v>
      </c>
      <c r="F98" s="244"/>
      <c r="G98" s="24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 t="e">
        <f>[1]Source!P49</f>
        <v>#REF!</v>
      </c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 t="e">
        <f>IF(E96&gt;0,ROUND([1]Source!P49/E96,2),0)</f>
        <v>#REF!</v>
      </c>
      <c r="DJ98" s="23"/>
      <c r="DK98" s="23"/>
      <c r="DL98" s="235">
        <f>F98</f>
        <v>0</v>
      </c>
      <c r="DM98" s="23" t="e">
        <f>[1]Source!P49</f>
        <v>#REF!</v>
      </c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</row>
    <row r="99" spans="1:255" customFormat="1" ht="28.5" customHeight="1" x14ac:dyDescent="0.2">
      <c r="A99" s="242" t="s">
        <v>460</v>
      </c>
      <c r="B99" s="241" t="s">
        <v>491</v>
      </c>
      <c r="C99" s="240" t="s">
        <v>490</v>
      </c>
      <c r="D99" s="239" t="s">
        <v>434</v>
      </c>
      <c r="E99" s="238">
        <v>5.8259999999999996</v>
      </c>
      <c r="F99" s="237"/>
      <c r="G99" s="236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 t="e">
        <f>[1]Source!P51</f>
        <v>#REF!</v>
      </c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 t="e">
        <f>IF(E96&gt;0,ROUND([1]Source!P51/E96,2),0)</f>
        <v>#REF!</v>
      </c>
      <c r="DJ99" s="23"/>
      <c r="DK99" s="23"/>
      <c r="DL99" s="235">
        <f>F99</f>
        <v>0</v>
      </c>
      <c r="DM99" s="23" t="e">
        <f>[1]Source!P51</f>
        <v>#REF!</v>
      </c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</row>
    <row r="100" spans="1:255" customFormat="1" ht="28.5" customHeight="1" x14ac:dyDescent="0.2">
      <c r="A100" s="101">
        <v>3</v>
      </c>
      <c r="B100" s="109" t="s">
        <v>583</v>
      </c>
      <c r="C100" s="102" t="s">
        <v>590</v>
      </c>
      <c r="D100" s="103" t="s">
        <v>581</v>
      </c>
      <c r="E100" s="104">
        <v>2.5888</v>
      </c>
      <c r="F100" s="233"/>
      <c r="G100" s="108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</row>
    <row r="101" spans="1:255" customFormat="1" ht="28.5" customHeight="1" x14ac:dyDescent="0.2">
      <c r="A101" s="249" t="s">
        <v>459</v>
      </c>
      <c r="B101" s="248" t="s">
        <v>589</v>
      </c>
      <c r="C101" s="247" t="s">
        <v>588</v>
      </c>
      <c r="D101" s="246" t="s">
        <v>469</v>
      </c>
      <c r="E101" s="245">
        <v>261.46879999999999</v>
      </c>
      <c r="F101" s="244"/>
      <c r="G101" s="24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 t="e">
        <f>[1]Source!P55</f>
        <v>#REF!</v>
      </c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 t="e">
        <f>IF(E100&gt;0,ROUND([1]Source!P55/E100,2),0)</f>
        <v>#REF!</v>
      </c>
      <c r="DJ101" s="23"/>
      <c r="DK101" s="23"/>
      <c r="DL101" s="235">
        <f>F101</f>
        <v>0</v>
      </c>
      <c r="DM101" s="23" t="e">
        <f>[1]Source!P55</f>
        <v>#REF!</v>
      </c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</row>
    <row r="102" spans="1:255" customFormat="1" ht="28.5" customHeight="1" x14ac:dyDescent="0.2">
      <c r="A102" s="249" t="s">
        <v>451</v>
      </c>
      <c r="B102" s="248" t="s">
        <v>587</v>
      </c>
      <c r="C102" s="247" t="s">
        <v>586</v>
      </c>
      <c r="D102" s="246" t="s">
        <v>434</v>
      </c>
      <c r="E102" s="245">
        <v>458</v>
      </c>
      <c r="F102" s="244"/>
      <c r="G102" s="24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 t="e">
        <f>[1]Source!P57</f>
        <v>#REF!</v>
      </c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 t="e">
        <f>IF(E100&gt;0,ROUND([1]Source!P57/E100,2),0)</f>
        <v>#REF!</v>
      </c>
      <c r="DJ102" s="23"/>
      <c r="DK102" s="23"/>
      <c r="DL102" s="235">
        <f>F102</f>
        <v>0</v>
      </c>
      <c r="DM102" s="23" t="e">
        <f>[1]Source!P57</f>
        <v>#REF!</v>
      </c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</row>
    <row r="103" spans="1:255" customFormat="1" ht="28.5" customHeight="1" x14ac:dyDescent="0.2">
      <c r="A103" s="242" t="s">
        <v>473</v>
      </c>
      <c r="B103" s="241" t="s">
        <v>585</v>
      </c>
      <c r="C103" s="240" t="s">
        <v>584</v>
      </c>
      <c r="D103" s="239" t="s">
        <v>434</v>
      </c>
      <c r="E103" s="238">
        <v>458</v>
      </c>
      <c r="F103" s="237"/>
      <c r="G103" s="236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 t="e">
        <f>[1]Source!P59</f>
        <v>#REF!</v>
      </c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 t="e">
        <f>IF(E100&gt;0,ROUND([1]Source!P59/E100,2),0)</f>
        <v>#REF!</v>
      </c>
      <c r="DJ103" s="23"/>
      <c r="DK103" s="23"/>
      <c r="DL103" s="235">
        <f>F103</f>
        <v>0</v>
      </c>
      <c r="DM103" s="23" t="e">
        <f>[1]Source!P59</f>
        <v>#REF!</v>
      </c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</row>
    <row r="104" spans="1:255" customFormat="1" ht="28.5" customHeight="1" x14ac:dyDescent="0.2">
      <c r="A104" s="101">
        <v>4</v>
      </c>
      <c r="B104" s="109" t="s">
        <v>583</v>
      </c>
      <c r="C104" s="102" t="s">
        <v>582</v>
      </c>
      <c r="D104" s="103" t="s">
        <v>581</v>
      </c>
      <c r="E104" s="104">
        <v>1.9936</v>
      </c>
      <c r="F104" s="233"/>
      <c r="G104" s="108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</row>
    <row r="105" spans="1:255" customFormat="1" ht="28.5" customHeight="1" x14ac:dyDescent="0.2">
      <c r="A105" s="242" t="s">
        <v>450</v>
      </c>
      <c r="B105" s="241" t="s">
        <v>580</v>
      </c>
      <c r="C105" s="240" t="s">
        <v>579</v>
      </c>
      <c r="D105" s="239" t="s">
        <v>476</v>
      </c>
      <c r="E105" s="238">
        <v>201.3536</v>
      </c>
      <c r="F105" s="237"/>
      <c r="G105" s="236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 t="e">
        <f>[1]Source!P63</f>
        <v>#REF!</v>
      </c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 t="e">
        <f>IF(E104&gt;0,ROUND([1]Source!P63/E104,2),0)</f>
        <v>#REF!</v>
      </c>
      <c r="DJ105" s="23"/>
      <c r="DK105" s="23"/>
      <c r="DL105" s="235">
        <f>F105</f>
        <v>0</v>
      </c>
      <c r="DM105" s="23" t="e">
        <f>[1]Source!P63</f>
        <v>#REF!</v>
      </c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</row>
    <row r="106" spans="1:255" customFormat="1" ht="28.5" customHeight="1" x14ac:dyDescent="0.2">
      <c r="A106" s="101">
        <v>5</v>
      </c>
      <c r="B106" s="109" t="s">
        <v>503</v>
      </c>
      <c r="C106" s="102" t="s">
        <v>578</v>
      </c>
      <c r="D106" s="103" t="s">
        <v>501</v>
      </c>
      <c r="E106" s="104">
        <v>6.4000000000000001E-2</v>
      </c>
      <c r="F106" s="233"/>
      <c r="G106" s="108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</row>
    <row r="107" spans="1:255" customFormat="1" ht="28.5" customHeight="1" x14ac:dyDescent="0.2">
      <c r="A107" s="249" t="s">
        <v>458</v>
      </c>
      <c r="B107" s="248" t="s">
        <v>500</v>
      </c>
      <c r="C107" s="247" t="s">
        <v>499</v>
      </c>
      <c r="D107" s="246" t="s">
        <v>434</v>
      </c>
      <c r="E107" s="245">
        <v>1.5571200000000001</v>
      </c>
      <c r="F107" s="244"/>
      <c r="G107" s="24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 t="e">
        <f>[1]Source!P67</f>
        <v>#REF!</v>
      </c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 t="e">
        <f>IF(E106&gt;0,ROUND([1]Source!P67/E106,2),0)</f>
        <v>#REF!</v>
      </c>
      <c r="DJ107" s="23"/>
      <c r="DK107" s="23"/>
      <c r="DL107" s="235">
        <f>F107</f>
        <v>0</v>
      </c>
      <c r="DM107" s="23" t="e">
        <f>[1]Source!P67</f>
        <v>#REF!</v>
      </c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</row>
    <row r="108" spans="1:255" s="264" customFormat="1" ht="30.75" customHeight="1" x14ac:dyDescent="0.3">
      <c r="A108" s="260"/>
      <c r="B108" s="261"/>
      <c r="C108" s="262" t="s">
        <v>624</v>
      </c>
      <c r="D108" s="262"/>
      <c r="E108" s="158"/>
      <c r="F108" s="263"/>
      <c r="G108" s="298">
        <v>1881081</v>
      </c>
      <c r="L108" s="297">
        <v>2257297.2000000002</v>
      </c>
    </row>
    <row r="109" spans="1:255" s="270" customFormat="1" x14ac:dyDescent="0.3">
      <c r="A109" s="265"/>
      <c r="B109" s="266"/>
      <c r="C109" s="267"/>
      <c r="D109" s="268"/>
      <c r="E109" s="269"/>
    </row>
    <row r="110" spans="1:255" s="270" customFormat="1" x14ac:dyDescent="0.3">
      <c r="A110" s="271"/>
      <c r="B110" s="272"/>
      <c r="C110" s="273" t="s">
        <v>619</v>
      </c>
      <c r="D110" s="273"/>
      <c r="E110" s="273"/>
    </row>
    <row r="111" spans="1:255" s="270" customFormat="1" x14ac:dyDescent="0.3">
      <c r="A111" s="271"/>
      <c r="B111" s="272"/>
      <c r="C111" s="278" t="s">
        <v>415</v>
      </c>
      <c r="D111" s="273"/>
      <c r="E111" s="273"/>
    </row>
    <row r="112" spans="1:255" s="275" customFormat="1" x14ac:dyDescent="0.3">
      <c r="A112" s="271"/>
      <c r="B112" s="271"/>
      <c r="C112" s="278" t="s">
        <v>608</v>
      </c>
      <c r="D112" s="274"/>
      <c r="E112" s="274"/>
    </row>
    <row r="113" spans="1:7" s="275" customFormat="1" ht="17.25" customHeight="1" x14ac:dyDescent="0.3">
      <c r="A113" s="271"/>
      <c r="B113" s="271"/>
      <c r="C113" s="278" t="s">
        <v>621</v>
      </c>
      <c r="D113" s="274"/>
      <c r="E113" s="274"/>
    </row>
    <row r="114" spans="1:7" s="275" customFormat="1" ht="17.25" customHeight="1" x14ac:dyDescent="0.3">
      <c r="A114" s="271"/>
      <c r="B114" s="271"/>
      <c r="C114" s="278" t="s">
        <v>609</v>
      </c>
      <c r="D114" s="274"/>
      <c r="E114" s="274"/>
    </row>
    <row r="115" spans="1:7" s="275" customFormat="1" ht="17.25" customHeight="1" x14ac:dyDescent="0.3">
      <c r="A115" s="271"/>
      <c r="B115" s="271"/>
      <c r="C115" s="278" t="s">
        <v>610</v>
      </c>
      <c r="D115" s="274"/>
      <c r="E115" s="274"/>
    </row>
    <row r="116" spans="1:7" s="275" customFormat="1" ht="18" customHeight="1" x14ac:dyDescent="0.3">
      <c r="A116" s="271"/>
      <c r="B116" s="271"/>
      <c r="C116" s="278" t="s">
        <v>611</v>
      </c>
      <c r="D116" s="274"/>
      <c r="E116" s="274"/>
    </row>
    <row r="117" spans="1:7" s="275" customFormat="1" x14ac:dyDescent="0.3">
      <c r="A117" s="271"/>
      <c r="B117" s="271"/>
      <c r="C117" s="278" t="s">
        <v>612</v>
      </c>
      <c r="D117" s="274"/>
      <c r="E117" s="274"/>
    </row>
    <row r="118" spans="1:7" s="264" customFormat="1" x14ac:dyDescent="0.3">
      <c r="A118" s="271"/>
      <c r="B118" s="271"/>
      <c r="C118" s="278" t="s">
        <v>613</v>
      </c>
      <c r="D118" s="274"/>
      <c r="E118" s="274"/>
      <c r="F118" s="276"/>
      <c r="G118" s="276"/>
    </row>
    <row r="119" spans="1:7" s="264" customFormat="1" x14ac:dyDescent="0.3">
      <c r="A119" s="271"/>
      <c r="B119" s="271"/>
      <c r="C119" s="278" t="s">
        <v>614</v>
      </c>
      <c r="D119" s="274"/>
      <c r="E119" s="274"/>
      <c r="F119" s="276"/>
      <c r="G119" s="276"/>
    </row>
    <row r="120" spans="1:7" s="264" customFormat="1" ht="16.5" customHeight="1" x14ac:dyDescent="0.3">
      <c r="A120" s="277"/>
      <c r="B120" s="277"/>
      <c r="C120" s="278" t="s">
        <v>615</v>
      </c>
      <c r="D120" s="274"/>
      <c r="E120" s="274"/>
      <c r="F120" s="276"/>
      <c r="G120" s="276"/>
    </row>
    <row r="121" spans="1:7" s="264" customFormat="1" ht="16.5" customHeight="1" x14ac:dyDescent="0.3">
      <c r="A121" s="279"/>
      <c r="B121" s="279"/>
      <c r="C121" s="381" t="s">
        <v>416</v>
      </c>
      <c r="D121" s="381"/>
      <c r="E121" s="381"/>
      <c r="F121" s="381"/>
      <c r="G121" s="381"/>
    </row>
    <row r="122" spans="1:7" s="270" customFormat="1" ht="16.5" customHeight="1" x14ac:dyDescent="0.3">
      <c r="A122" s="279"/>
      <c r="B122" s="279"/>
      <c r="C122" s="280" t="s">
        <v>417</v>
      </c>
      <c r="D122" s="280"/>
      <c r="E122" s="280"/>
      <c r="F122" s="280"/>
      <c r="G122" s="280"/>
    </row>
    <row r="123" spans="1:7" s="270" customFormat="1" ht="16.5" customHeight="1" x14ac:dyDescent="0.3">
      <c r="A123" s="279"/>
      <c r="B123" s="279"/>
      <c r="C123" s="300" t="s">
        <v>623</v>
      </c>
      <c r="D123" s="299"/>
      <c r="E123" s="299"/>
      <c r="F123" s="299"/>
      <c r="G123" s="299"/>
    </row>
    <row r="124" spans="1:7" s="270" customFormat="1" x14ac:dyDescent="0.3">
      <c r="A124" s="279"/>
      <c r="B124" s="279"/>
      <c r="C124" s="382" t="s">
        <v>418</v>
      </c>
      <c r="D124" s="382"/>
      <c r="E124" s="382"/>
      <c r="F124" s="281"/>
      <c r="G124" s="282"/>
    </row>
    <row r="125" spans="1:7" s="270" customFormat="1" x14ac:dyDescent="0.3">
      <c r="A125" s="279"/>
      <c r="B125" s="279"/>
      <c r="C125" s="283" t="s">
        <v>419</v>
      </c>
      <c r="D125" s="283"/>
      <c r="E125" s="283"/>
      <c r="F125" s="281"/>
      <c r="G125" s="282"/>
    </row>
    <row r="126" spans="1:7" s="270" customFormat="1" x14ac:dyDescent="0.3">
      <c r="A126" s="279"/>
      <c r="B126" s="279"/>
      <c r="C126" s="284" t="s">
        <v>420</v>
      </c>
      <c r="D126" s="284"/>
      <c r="E126" s="284"/>
      <c r="F126" s="285"/>
      <c r="G126" s="286"/>
    </row>
    <row r="127" spans="1:7" s="270" customFormat="1" x14ac:dyDescent="0.3">
      <c r="A127" s="287"/>
      <c r="B127" s="287"/>
      <c r="C127" s="284" t="s">
        <v>421</v>
      </c>
      <c r="D127" s="284"/>
      <c r="E127" s="284"/>
      <c r="F127" s="285"/>
      <c r="G127" s="286"/>
    </row>
    <row r="128" spans="1:7" s="270" customFormat="1" x14ac:dyDescent="0.3">
      <c r="A128" s="288"/>
      <c r="B128" s="288"/>
      <c r="C128" s="284" t="s">
        <v>616</v>
      </c>
      <c r="D128" s="284"/>
      <c r="E128" s="284"/>
      <c r="F128" s="285"/>
      <c r="G128" s="286"/>
    </row>
    <row r="129" spans="1:7" s="270" customFormat="1" x14ac:dyDescent="0.3">
      <c r="A129" s="288"/>
      <c r="B129" s="288"/>
      <c r="C129" s="284" t="s">
        <v>422</v>
      </c>
      <c r="D129" s="284"/>
      <c r="E129" s="284"/>
      <c r="F129" s="285"/>
      <c r="G129" s="286"/>
    </row>
    <row r="130" spans="1:7" s="270" customFormat="1" x14ac:dyDescent="0.3">
      <c r="A130" s="288"/>
      <c r="B130" s="288"/>
      <c r="C130" s="284" t="s">
        <v>423</v>
      </c>
      <c r="D130" s="284"/>
      <c r="E130" s="284"/>
      <c r="F130" s="285"/>
      <c r="G130" s="286"/>
    </row>
    <row r="131" spans="1:7" s="270" customFormat="1" x14ac:dyDescent="0.3">
      <c r="A131" s="288"/>
      <c r="B131" s="288"/>
      <c r="C131" s="284" t="s">
        <v>617</v>
      </c>
      <c r="D131" s="284"/>
      <c r="E131" s="284"/>
      <c r="F131" s="285"/>
      <c r="G131" s="286"/>
    </row>
    <row r="132" spans="1:7" s="289" customFormat="1" x14ac:dyDescent="0.2">
      <c r="A132" s="288"/>
      <c r="B132" s="288"/>
      <c r="C132" s="284" t="s">
        <v>424</v>
      </c>
      <c r="D132" s="284"/>
      <c r="E132" s="284"/>
      <c r="F132" s="285"/>
      <c r="G132" s="286"/>
    </row>
    <row r="133" spans="1:7" s="289" customFormat="1" x14ac:dyDescent="0.2">
      <c r="A133" s="288"/>
      <c r="B133" s="288"/>
      <c r="C133" s="284" t="s">
        <v>425</v>
      </c>
      <c r="D133" s="284"/>
      <c r="E133" s="284"/>
      <c r="F133" s="285"/>
      <c r="G133" s="286"/>
    </row>
    <row r="134" spans="1:7" s="289" customFormat="1" x14ac:dyDescent="0.2">
      <c r="A134" s="288"/>
      <c r="B134" s="288"/>
      <c r="C134" s="383" t="s">
        <v>426</v>
      </c>
      <c r="D134" s="383"/>
      <c r="E134" s="383"/>
    </row>
    <row r="135" spans="1:7" s="289" customFormat="1" ht="33" customHeight="1" x14ac:dyDescent="0.2">
      <c r="A135" s="290"/>
      <c r="B135" s="290"/>
      <c r="C135" s="381" t="s">
        <v>427</v>
      </c>
      <c r="D135" s="381"/>
      <c r="E135" s="381"/>
    </row>
    <row r="136" spans="1:7" s="289" customFormat="1" x14ac:dyDescent="0.3">
      <c r="A136" s="271"/>
      <c r="B136" s="271"/>
      <c r="C136" s="291" t="s">
        <v>620</v>
      </c>
      <c r="D136" s="292"/>
      <c r="E136" s="292"/>
    </row>
    <row r="137" spans="1:7" s="289" customFormat="1" x14ac:dyDescent="0.2">
      <c r="A137" s="293"/>
      <c r="B137" s="294"/>
      <c r="C137" s="295" t="s">
        <v>618</v>
      </c>
      <c r="D137" s="295"/>
      <c r="E137" s="295"/>
    </row>
    <row r="138" spans="1:7" s="289" customFormat="1" x14ac:dyDescent="0.3">
      <c r="A138" s="270"/>
      <c r="B138" s="270"/>
      <c r="C138" s="296"/>
      <c r="D138" s="296"/>
      <c r="E138" s="296"/>
    </row>
    <row r="139" spans="1:7" s="289" customFormat="1" x14ac:dyDescent="0.3">
      <c r="A139" s="270"/>
      <c r="B139" s="270"/>
      <c r="C139" s="296"/>
      <c r="D139" s="296"/>
      <c r="E139" s="296"/>
    </row>
    <row r="140" spans="1:7" s="289" customFormat="1" x14ac:dyDescent="0.3">
      <c r="A140" s="270"/>
      <c r="B140" s="270"/>
      <c r="C140" s="296"/>
      <c r="D140" s="296"/>
      <c r="E140" s="296"/>
    </row>
    <row r="141" spans="1:7" s="289" customFormat="1" x14ac:dyDescent="0.3">
      <c r="A141" s="270"/>
      <c r="B141" s="270"/>
      <c r="C141" s="296"/>
      <c r="D141" s="296"/>
      <c r="E141" s="296"/>
    </row>
  </sheetData>
  <mergeCells count="25">
    <mergeCell ref="C121:G121"/>
    <mergeCell ref="C124:E124"/>
    <mergeCell ref="C134:E134"/>
    <mergeCell ref="C135:E135"/>
    <mergeCell ref="C18:G18"/>
    <mergeCell ref="C55:G55"/>
    <mergeCell ref="C88:G88"/>
    <mergeCell ref="A89:B89"/>
    <mergeCell ref="C89:G89"/>
    <mergeCell ref="A90:B90"/>
    <mergeCell ref="C90:G90"/>
    <mergeCell ref="G14:G15"/>
    <mergeCell ref="A14:A15"/>
    <mergeCell ref="B14:B15"/>
    <mergeCell ref="C14:C15"/>
    <mergeCell ref="D14:D15"/>
    <mergeCell ref="E14:E15"/>
    <mergeCell ref="A9:B9"/>
    <mergeCell ref="C11:G11"/>
    <mergeCell ref="F14:F15"/>
    <mergeCell ref="E1:G1"/>
    <mergeCell ref="E2:G2"/>
    <mergeCell ref="A6:G6"/>
    <mergeCell ref="F7:G7"/>
    <mergeCell ref="C8:G8"/>
  </mergeCells>
  <printOptions horizontalCentered="1"/>
  <pageMargins left="0.19685039370078741" right="0.19685039370078741" top="0.35433070866141736" bottom="0.19685039370078741" header="0.11811023622047245" footer="0.11811023622047245"/>
  <pageSetup paperSize="9" scale="26" fitToHeight="1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SUM('1.Лок.смета.и.Акт'!AS47:'1.Лок.смета.и.Акт'!AS79)</f>
        <v>0</v>
      </c>
      <c r="AZ14">
        <f>SUM('1.Лок.смета.и.Акт'!AT47:'1.Лок.смета.и.Акт'!AT79)</f>
        <v>0</v>
      </c>
      <c r="BA14">
        <f>SUM('1.Лок.смета.и.Акт'!AU47:'1.Лок.смета.и.Акт'!AU79)</f>
        <v>0</v>
      </c>
      <c r="BB14">
        <f>SUM('1.Лок.смета.и.Акт'!AV47:'1.Лок.смета.и.Акт'!AV79)</f>
        <v>0</v>
      </c>
      <c r="BC14">
        <f>SUM('1.Лок.смета.и.Акт'!AW47:'1.Лок.смета.и.Акт'!AW79)</f>
        <v>0</v>
      </c>
      <c r="BD14">
        <f>SUM('1.Лок.смета.и.Акт'!AX47:'1.Лок.смета.и.Акт'!AX79)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SUM('1.Лок.смета.и.Акт'!GJ47:'1.Лок.смета.и.Акт'!GJ79)</f>
        <v>29890</v>
      </c>
      <c r="EW14">
        <f>SUM('1.Лок.смета.и.Акт'!GK47:'1.Лок.смета.и.Акт'!GK79)</f>
        <v>2189</v>
      </c>
      <c r="EX14">
        <f>SUM('1.Лок.смета.и.Акт'!GL47:'1.Лок.смета.и.Акт'!GL79)</f>
        <v>27701</v>
      </c>
      <c r="EY14">
        <f>SUM('1.Лок.смета.и.Акт'!GM47:'1.Лок.смета.и.Акт'!GM79)</f>
        <v>1304</v>
      </c>
      <c r="EZ14">
        <f>SUM('1.Лок.смета.и.Акт'!GN47:'1.Лок.смета.и.Акт'!GN79)</f>
        <v>0</v>
      </c>
      <c r="FA14">
        <f>SUM('1.Лок.смета.и.Акт'!GO47:'1.Лок.смета.и.Акт'!GO79)</f>
        <v>0</v>
      </c>
      <c r="FB14">
        <f>SUM('1.Лок.смета.и.Акт'!GP47:'1.Лок.смета.и.Акт'!GP79)</f>
        <v>0</v>
      </c>
      <c r="FC14">
        <f>SUM('1.Лок.смета.и.Акт'!GQ47:'1.Лок.смета.и.Акт'!GQ79)</f>
        <v>0</v>
      </c>
      <c r="FD14">
        <f>SUM('1.Лок.смета.и.Акт'!GR47:'1.Лок.смета.и.Акт'!GR79)</f>
        <v>0</v>
      </c>
      <c r="FE14">
        <f>SUM('1.Лок.смета.и.Акт'!GS47:'1.Лок.смета.и.Акт'!GS79)</f>
        <v>0</v>
      </c>
      <c r="FF14">
        <f>SUM('1.Лок.смета.и.Акт'!GT47:'1.Лок.смета.и.Акт'!GT79)</f>
        <v>0</v>
      </c>
      <c r="FG14">
        <f>SUM('1.Лок.смета.и.Акт'!GU47:'1.Лок.смета.и.Акт'!GU79)</f>
        <v>0</v>
      </c>
      <c r="FH14">
        <f>SUM('1.Лок.смета.и.Акт'!GV47:'1.Лок.смета.и.Акт'!GV79)</f>
        <v>0</v>
      </c>
      <c r="FI14">
        <f>SUM('1.Лок.смета.и.Акт'!GW47:'1.Лок.смета.и.Акт'!GW79)</f>
        <v>0</v>
      </c>
      <c r="FJ14">
        <f>SUM('1.Лок.смета.и.Акт'!GX47:'1.Лок.смета.и.Акт'!GX79)</f>
        <v>0</v>
      </c>
      <c r="FK14">
        <f>SUM('1.Лок.смета.и.Акт'!GY47:'1.Лок.смета.и.Акт'!GY79)</f>
        <v>3004</v>
      </c>
      <c r="FL14">
        <f>SUM('1.Лок.смета.и.Акт'!GZ47:'1.Лок.смета.и.Акт'!GZ79)</f>
        <v>1643</v>
      </c>
      <c r="FM14">
        <f>SUM('1.Лок.смета.и.Акт'!HA47:'1.Лок.смета.и.Акт'!HA79)</f>
        <v>34537</v>
      </c>
      <c r="FN14">
        <f>SUM('1.Лок.смета.и.Акт'!HB47:'1.Лок.смета.и.Акт'!HB79)</f>
        <v>34537</v>
      </c>
      <c r="FO14">
        <f>SUM('1.Лок.смета.и.Акт'!HC47:'1.Лок.смета.и.Акт'!HC79)</f>
        <v>0</v>
      </c>
      <c r="FP14">
        <f>SUM('1.Лок.смета.и.Акт'!HD47:'1.Лок.смета.и.Акт'!HD79)</f>
        <v>0</v>
      </c>
      <c r="FQ14">
        <f>SUM('1.Лок.смета.и.Акт'!HE47:'1.Лок.смета.и.Акт'!HE79)</f>
        <v>0</v>
      </c>
      <c r="FR14">
        <f>'1.Лок.смета.и.Акт'!FN80+'1.Лок.смета.и.Акт'!FO80</f>
        <v>34537</v>
      </c>
      <c r="FS14">
        <f>SUM('1.Лок.смета.и.Акт'!HG47:'1.Лок.смета.и.Акт'!HG79)</f>
        <v>0</v>
      </c>
      <c r="FT14">
        <f>SUM('1.Лок.смета.и.Акт'!HH47:'1.Лок.смета.и.Акт'!HH79)</f>
        <v>0</v>
      </c>
      <c r="FU14">
        <f>SUM('1.Лок.смета.и.Акт'!HI47:'1.Лок.смета.и.Акт'!HI79)</f>
        <v>0</v>
      </c>
      <c r="FV14">
        <f>SUM('1.Лок.смета.и.Акт'!HJ47:'1.Лок.смета.и.Акт'!HJ79)</f>
        <v>0</v>
      </c>
      <c r="FW14">
        <f>SUM('1.Лок.смета.и.Акт'!HK47:'1.Лок.смета.и.Акт'!HK79)</f>
        <v>16406</v>
      </c>
      <c r="FX14">
        <f>SUMIF('1.Лок.смета.и.Акт'!CV47:'1.Лок.смета.и.Акт'!CV79,1,'1.Лок.смета.и.Акт'!GK47:'1.Лок.смета.и.Акт'!GK79)</f>
        <v>2189</v>
      </c>
      <c r="FY14">
        <f>SUMIF('1.Лок.смета.и.Акт'!CV47:'1.Лок.смета.и.Акт'!CV79,2,'1.Лок.смета.и.Акт'!GK47:'1.Лок.смета.и.Акт'!GK79)</f>
        <v>0</v>
      </c>
      <c r="FZ14">
        <f>SUMIF('1.Лок.смета.и.Акт'!CV47:'1.Лок.смета.и.Акт'!CV79,5,'1.Лок.смета.и.Акт'!GK47:'1.Лок.смета.и.Акт'!GK79)</f>
        <v>0</v>
      </c>
      <c r="GA14">
        <f>SUMIF('1.Лок.смета.и.Акт'!CV47:'1.Лок.смета.и.Акт'!CV79,4,'1.Лок.смета.и.Акт'!GK47:'1.Лок.смета.и.Акт'!GK79)</f>
        <v>0</v>
      </c>
      <c r="GB14">
        <f>SUMIF('1.Лок.смета.и.Акт'!CV47:'1.Лок.смета.и.Акт'!CV79,1,'1.Лок.смета.и.Акт'!GL47:'1.Лок.смета.и.Акт'!GL79)</f>
        <v>27701</v>
      </c>
      <c r="GC14">
        <f>SUMIF('1.Лок.смета.и.Акт'!CV47:'1.Лок.смета.и.Акт'!CV79,2,'1.Лок.смета.и.Акт'!GL47:'1.Лок.смета.и.Акт'!GL79)</f>
        <v>0</v>
      </c>
      <c r="GD14">
        <f>SUMIF('1.Лок.смета.и.Акт'!CV47:'1.Лок.смета.и.Акт'!CV79,4,'1.Лок.смета.и.Акт'!GL47:'1.Лок.смета.и.Акт'!GL79)</f>
        <v>0</v>
      </c>
      <c r="GE14">
        <f>SUMIF('1.Лок.смета.и.Акт'!CV47:'1.Лок.смета.и.Акт'!CV79,1,'1.Лок.смета.и.Акт'!GQ47:'1.Лок.смета.и.Акт'!GQ79)</f>
        <v>0</v>
      </c>
      <c r="GF14">
        <f>SUMIF('1.Лок.смета.и.Акт'!CV47:'1.Лок.смета.и.Акт'!CV79,2,'1.Лок.смета.и.Акт'!GQ47:'1.Лок.смета.и.Акт'!GQ79)</f>
        <v>0</v>
      </c>
      <c r="GG14">
        <f>SUMIF('1.Лок.смета.и.Акт'!CV47:'1.Лок.смета.и.Акт'!CV79,4,'1.Лок.смета.и.Акт'!GQ47:'1.Лок.смета.и.Акт'!GQ79)</f>
        <v>0</v>
      </c>
      <c r="IB14">
        <f>SUM('1.Лок.смета.и.Акт'!HO47:'1.Лок.смета.и.Акт'!HO79)</f>
        <v>16406</v>
      </c>
      <c r="IC14">
        <f>SUM('1.Лок.смета.и.Акт'!HQ47:'1.Лок.смета.и.Акт'!HQ79)</f>
        <v>0</v>
      </c>
      <c r="ID14">
        <f>SUM('1.Лок.смета.и.Акт'!HS47:'1.Лок.смета.и.Акт'!HS79)</f>
        <v>0</v>
      </c>
      <c r="IE14">
        <f>SUM('1.Лок.смета.и.Акт'!HU47:'1.Лок.смета.и.Акт'!HU79)</f>
        <v>0</v>
      </c>
      <c r="IF14">
        <f>SUM('1.Лок.смета.и.Акт'!HY47:'1.Лок.смета.и.Акт'!HY79)</f>
        <v>0</v>
      </c>
      <c r="IG14">
        <f>SUM('1.Лок.смета.и.Акт'!HZ47:'1.Лок.смета.и.Акт'!HZ79)</f>
        <v>0</v>
      </c>
      <c r="IH14">
        <f>SUM('1.Лок.смета.и.Акт'!HL47:'1.Лок.смета.и.Акт'!HL79)</f>
        <v>18131</v>
      </c>
      <c r="II14">
        <f>SUM('1.Лок.смета.и.Акт'!HN47:'1.Лок.смета.и.Акт'!HN79)</f>
        <v>18131</v>
      </c>
      <c r="IJ14">
        <f>SUM('1.Лок.смета.и.Акт'!HP47:'1.Лок.смета.и.Акт'!HP79)</f>
        <v>0</v>
      </c>
      <c r="IK14">
        <f>SUM('1.Лок.смета.и.Акт'!HR47:'1.Лок.смета.и.Акт'!HR79)</f>
        <v>0</v>
      </c>
      <c r="IL14">
        <f>SUM('1.Лок.смета.и.Акт'!HT47:'1.Лок.смета.и.Акт'!HT79)</f>
        <v>0</v>
      </c>
      <c r="IM14">
        <f>SUM('1.Лок.смета.и.Акт'!HW47:'1.Лок.смета.и.Акт'!HW79)</f>
        <v>0</v>
      </c>
      <c r="IN14">
        <f>SUMIF('1.Лок.смета.и.Акт'!CV47:'1.Лок.смета.и.Акт'!CV79,1,'1.Лок.смета.и.Акт'!GY47:'1.Лок.смета.и.Акт'!GY79)</f>
        <v>3004</v>
      </c>
      <c r="IO14">
        <f>SUMIF('1.Лок.смета.и.Акт'!CV47:'1.Лок.смета.и.Акт'!CV79,2,'1.Лок.смета.и.Акт'!GY47:'1.Лок.смета.и.Акт'!GY79)</f>
        <v>0</v>
      </c>
      <c r="IP14">
        <f>SUMIF('1.Лок.смета.и.Акт'!CV47:'1.Лок.смета.и.Акт'!CV79,5,'1.Лок.смета.и.Акт'!GY47:'1.Лок.смета.и.Акт'!GY79)</f>
        <v>0</v>
      </c>
      <c r="IQ14">
        <f>SUMIF('1.Лок.смета.и.Акт'!CV47:'1.Лок.смета.и.Акт'!CV79,4,'1.Лок.смета.и.Акт'!GY47:'1.Лок.смета.и.Акт'!GY79)</f>
        <v>0</v>
      </c>
      <c r="IR14">
        <f>SUMIF('1.Лок.смета.и.Акт'!CV47:'1.Лок.смета.и.Акт'!CV79,1,'1.Лок.смета.и.Акт'!GZ47:'1.Лок.смета.и.Акт'!GZ79)</f>
        <v>1643</v>
      </c>
      <c r="IS14">
        <f>SUMIF('1.Лок.смета.и.Акт'!CV47:'1.Лок.смета.и.Акт'!CV79,2,'1.Лок.смета.и.Акт'!GZ47:'1.Лок.смета.и.Акт'!GZ79)</f>
        <v>0</v>
      </c>
      <c r="IT14">
        <f>SUMIF('1.Лок.смета.и.Акт'!CV47:'1.Лок.смета.и.Акт'!CV79,5,'1.Лок.смета.и.Акт'!GZ47:'1.Лок.смета.и.Акт'!GZ79)</f>
        <v>0</v>
      </c>
      <c r="IU14">
        <f>SUMIF('1.Лок.смета.и.Акт'!CV47:'1.Лок.смета.и.Акт'!CV79,4,'1.Лок.смета.и.Акт'!GZ47:'1.Лок.смета.и.Акт'!GZ79)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SUMIF('1.Лок.смета.и.Акт'!CV47:'1.Лок.смета.и.Акт'!CV79,1,'1.Лок.смета.и.Акт'!AV47:'1.Лок.смета.и.Акт'!AV79)</f>
        <v>0</v>
      </c>
      <c r="BF80">
        <f>SUMIF('1.Лок.смета.и.Акт'!CV47:'1.Лок.смета.и.Акт'!CV79,2,'1.Лок.смета.и.Акт'!AV47:'1.Лок.смета.и.Акт'!AV79)</f>
        <v>0</v>
      </c>
      <c r="BG80">
        <f>SUMIF('1.Лок.смета.и.Акт'!CV47:'1.Лок.смета.и.Акт'!CV79,5,'1.Лок.смета.и.Акт'!AV47:'1.Лок.смета.и.Акт'!AV79)</f>
        <v>0</v>
      </c>
      <c r="BH80">
        <f>SUMIF('1.Лок.смета.и.Акт'!CV47:'1.Лок.смета.и.Акт'!CV79,4,'1.Лок.смета.и.Акт'!AV47:'1.Лок.смета.и.Акт'!AV79)</f>
        <v>0</v>
      </c>
      <c r="BI80">
        <f>SUMIF('1.Лок.смета.и.Акт'!CV47:'1.Лок.смета.и.Акт'!CV79,1,'1.Лок.смета.и.Акт'!AW47:'1.Лок.смета.и.Акт'!AW79)</f>
        <v>0</v>
      </c>
      <c r="BJ80">
        <f>SUMIF('1.Лок.смета.и.Акт'!CV47:'1.Лок.смета.и.Акт'!CV79,2,'1.Лок.смета.и.Акт'!AW47:'1.Лок.смета.и.Акт'!AW79)</f>
        <v>0</v>
      </c>
      <c r="BK80">
        <f>SUMIF('1.Лок.смета.и.Акт'!CV47:'1.Лок.смета.и.Акт'!CV79,5,'1.Лок.смета.и.Акт'!AW47:'1.Лок.смета.и.Акт'!AW79)</f>
        <v>0</v>
      </c>
      <c r="BL80">
        <f>SUMIF('1.Лок.смета.и.Акт'!CV47:'1.Лок.смета.и.Акт'!CV79,4,'1.Лок.смета.и.Акт'!AW47:'1.Лок.смета.и.Акт'!AW79)</f>
        <v>0</v>
      </c>
      <c r="BM80">
        <f>SUMIF('1.Лок.смета.и.Акт'!CV47:'1.Лок.смета.и.Акт'!CV79,1,'1.Лок.смета.и.Акт'!AX47:'1.Лок.смета.и.Акт'!AX79)</f>
        <v>0</v>
      </c>
      <c r="BN80">
        <f>SUMIF('1.Лок.смета.и.Акт'!CV47:'1.Лок.смета.и.Акт'!CV79,2,'1.Лок.смета.и.Акт'!AX47:'1.Лок.смета.и.Акт'!AX79)</f>
        <v>0</v>
      </c>
      <c r="BO80">
        <f>SUMIF('1.Лок.смета.и.Акт'!CV47:'1.Лок.смета.и.Акт'!CV79,5,'1.Лок.смета.и.Акт'!AX47:'1.Лок.смета.и.Акт'!AX79)</f>
        <v>0</v>
      </c>
      <c r="BP80">
        <f>SUMIF('1.Лок.смета.и.Акт'!CV47:'1.Лок.смета.и.Акт'!CV79,4,'1.Лок.смета.и.Акт'!AX47:'1.Лок.смета.и.Акт'!AX79)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6.Ведомость_списания</vt:lpstr>
      <vt:lpstr>5.Ресурсный_расчет</vt:lpstr>
      <vt:lpstr>4.Оборудование</vt:lpstr>
      <vt:lpstr>3.Материалы</vt:lpstr>
      <vt:lpstr>2.Лок.смета.и.Акт в ЕР</vt:lpstr>
      <vt:lpstr>SourceOb.2</vt:lpstr>
      <vt:lpstr>1.Лок.смета.и.Акт</vt:lpstr>
      <vt:lpstr>ТЗ</vt:lpstr>
      <vt:lpstr>SourceOb.1</vt:lpstr>
      <vt:lpstr>Source</vt:lpstr>
      <vt:lpstr>SourceObSm</vt:lpstr>
      <vt:lpstr>SmtRes</vt:lpstr>
      <vt:lpstr>EtalonRes</vt:lpstr>
      <vt:lpstr>'1.Лок.смета.и.Акт'!Заголовки_для_печати</vt:lpstr>
      <vt:lpstr>'2.Лок.смета.и.Акт в ЕР'!Заголовки_для_печати</vt:lpstr>
      <vt:lpstr>'3.Материалы'!Заголовки_для_печати</vt:lpstr>
      <vt:lpstr>'4.Оборудование'!Заголовки_для_печати</vt:lpstr>
      <vt:lpstr>'5.Ресурсный_расчет'!Заголовки_для_печати</vt:lpstr>
      <vt:lpstr>'6.Ведомость_списания'!Заголовки_для_печати</vt:lpstr>
      <vt:lpstr>'1.Лок.смета.и.Акт'!Область_печати</vt:lpstr>
      <vt:lpstr>'2.Лок.смета.и.Акт в ЕР'!Область_печати</vt:lpstr>
      <vt:lpstr>'3.Материалы'!Область_печати</vt:lpstr>
      <vt:lpstr>'4.Оборудование'!Область_печати</vt:lpstr>
      <vt:lpstr>'5.Ресурсный_расчет'!Область_печати</vt:lpstr>
      <vt:lpstr>'6.Ведомость_списания'!Область_печати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Ионова Елизавета Борисовна</dc:creator>
  <cp:lastModifiedBy>Когтев Валерий Иванович</cp:lastModifiedBy>
  <cp:lastPrinted>2024-06-10T08:27:35Z</cp:lastPrinted>
  <dcterms:created xsi:type="dcterms:W3CDTF">2023-05-17T13:36:26Z</dcterms:created>
  <dcterms:modified xsi:type="dcterms:W3CDTF">2025-06-05T13:53:50Z</dcterms:modified>
</cp:coreProperties>
</file>